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autoCompressPictures="0" defaultThemeVersion="166925"/>
  <mc:AlternateContent xmlns:mc="http://schemas.openxmlformats.org/markup-compatibility/2006">
    <mc:Choice Requires="x15">
      <x15ac:absPath xmlns:x15ac="http://schemas.microsoft.com/office/spreadsheetml/2010/11/ac" url="C:\Users\Cora\Pacific Institute\PI Research - SARW Projects 2019\SARW Water Targets 2019\Research &amp; Analysis\Context Diagnostics\"/>
    </mc:Choice>
  </mc:AlternateContent>
  <xr:revisionPtr revIDLastSave="3" documentId="13_ncr:1_{F51BCCB1-33FF-493E-813F-62278036C42B}" xr6:coauthVersionLast="43" xr6:coauthVersionMax="43" xr10:uidLastSave="{BAE8DA7F-8905-482F-BB20-DB4AF2B31973}"/>
  <bookViews>
    <workbookView xWindow="366" yWindow="366" windowWidth="17376" windowHeight="9864" activeTab="5" xr2:uid="{00000000-000D-0000-FFFF-FFFF00000000}"/>
  </bookViews>
  <sheets>
    <sheet name="Metrics Overview" sheetId="5" r:id="rId1"/>
    <sheet name="Rank methods" sheetId="4" r:id="rId2"/>
    <sheet name="Risk data" sheetId="1" r:id="rId3"/>
    <sheet name="1.Ranking" sheetId="3" r:id="rId4"/>
    <sheet name="2.WeightedRanking" sheetId="6" r:id="rId5"/>
    <sheet name="Charts" sheetId="7" r:id="rId6"/>
    <sheet name="Water agencies" sheetId="2" r:id="rId7"/>
  </sheets>
  <definedNames>
    <definedName name="Table2">Table1[#All]</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Q27" i="7" l="1"/>
  <c r="M4" i="7"/>
  <c r="N4" i="7"/>
  <c r="O4" i="7"/>
  <c r="P4" i="7"/>
  <c r="Q4" i="7"/>
  <c r="M5" i="7"/>
  <c r="N5" i="7"/>
  <c r="O5" i="7"/>
  <c r="P5" i="7"/>
  <c r="Q5" i="7"/>
  <c r="M6" i="7"/>
  <c r="N6" i="7"/>
  <c r="O6" i="7"/>
  <c r="P6" i="7"/>
  <c r="Q6" i="7"/>
  <c r="M7" i="7"/>
  <c r="N7" i="7"/>
  <c r="O7" i="7"/>
  <c r="P7" i="7"/>
  <c r="Q7" i="7"/>
  <c r="M8" i="7"/>
  <c r="N8" i="7"/>
  <c r="O8" i="7"/>
  <c r="P8" i="7"/>
  <c r="Q8" i="7"/>
  <c r="M9" i="7"/>
  <c r="N9" i="7"/>
  <c r="O9" i="7"/>
  <c r="P9" i="7"/>
  <c r="Q9" i="7"/>
  <c r="M10" i="7"/>
  <c r="N10" i="7"/>
  <c r="O10" i="7"/>
  <c r="P10" i="7"/>
  <c r="Q10" i="7"/>
  <c r="M11" i="7"/>
  <c r="N11" i="7"/>
  <c r="O11" i="7"/>
  <c r="P11" i="7"/>
  <c r="Q11" i="7"/>
  <c r="M12" i="7"/>
  <c r="N12" i="7"/>
  <c r="O12" i="7"/>
  <c r="P12" i="7"/>
  <c r="Q12" i="7"/>
  <c r="M13" i="7"/>
  <c r="N13" i="7"/>
  <c r="O13" i="7"/>
  <c r="P13" i="7"/>
  <c r="Q13" i="7"/>
  <c r="M14" i="7"/>
  <c r="N14" i="7"/>
  <c r="O14" i="7"/>
  <c r="P14" i="7"/>
  <c r="Q14" i="7"/>
  <c r="M15" i="7"/>
  <c r="N15" i="7"/>
  <c r="O15" i="7"/>
  <c r="P15" i="7"/>
  <c r="Q15" i="7"/>
  <c r="M16" i="7"/>
  <c r="N16" i="7"/>
  <c r="O16" i="7"/>
  <c r="P16" i="7"/>
  <c r="Q16" i="7"/>
  <c r="M17" i="7"/>
  <c r="N17" i="7"/>
  <c r="O17" i="7"/>
  <c r="P17" i="7"/>
  <c r="Q17" i="7"/>
  <c r="M18" i="7"/>
  <c r="N18" i="7"/>
  <c r="O18" i="7"/>
  <c r="P18" i="7"/>
  <c r="Q18" i="7"/>
  <c r="M19" i="7"/>
  <c r="N19" i="7"/>
  <c r="O19" i="7"/>
  <c r="P19" i="7"/>
  <c r="Q19" i="7"/>
  <c r="M20" i="7"/>
  <c r="N20" i="7"/>
  <c r="O20" i="7"/>
  <c r="P20" i="7"/>
  <c r="Q20" i="7"/>
  <c r="M21" i="7"/>
  <c r="N21" i="7"/>
  <c r="O21" i="7"/>
  <c r="P21" i="7"/>
  <c r="Q21" i="7"/>
  <c r="M22" i="7"/>
  <c r="N22" i="7"/>
  <c r="O22" i="7"/>
  <c r="P22" i="7"/>
  <c r="Q22" i="7"/>
  <c r="M23" i="7"/>
  <c r="N23" i="7"/>
  <c r="O23" i="7"/>
  <c r="P23" i="7"/>
  <c r="Q23" i="7"/>
  <c r="M24" i="7"/>
  <c r="N24" i="7"/>
  <c r="O24" i="7"/>
  <c r="P24" i="7"/>
  <c r="Q24" i="7"/>
  <c r="M25" i="7"/>
  <c r="N25" i="7"/>
  <c r="O25" i="7"/>
  <c r="P25" i="7"/>
  <c r="Q25" i="7"/>
  <c r="M26" i="7"/>
  <c r="N26" i="7"/>
  <c r="O26" i="7"/>
  <c r="P26" i="7"/>
  <c r="Q26" i="7"/>
  <c r="M27" i="7"/>
  <c r="N27" i="7"/>
  <c r="O27" i="7"/>
  <c r="P27" i="7"/>
  <c r="M28" i="7"/>
  <c r="N28" i="7"/>
  <c r="O28" i="7"/>
  <c r="P28" i="7"/>
  <c r="Q28" i="7"/>
  <c r="M29" i="7"/>
  <c r="N29" i="7"/>
  <c r="O29" i="7"/>
  <c r="P29" i="7"/>
  <c r="Q29" i="7"/>
  <c r="M30" i="7"/>
  <c r="N30" i="7"/>
  <c r="O30" i="7"/>
  <c r="P30" i="7"/>
  <c r="Q30" i="7"/>
  <c r="M31" i="7"/>
  <c r="N31" i="7"/>
  <c r="O31" i="7"/>
  <c r="P31" i="7"/>
  <c r="Q31" i="7"/>
  <c r="M32" i="7"/>
  <c r="N32" i="7"/>
  <c r="O32" i="7"/>
  <c r="P32" i="7"/>
  <c r="Q32" i="7"/>
  <c r="M33" i="7"/>
  <c r="N33" i="7"/>
  <c r="O33" i="7"/>
  <c r="P33" i="7"/>
  <c r="Q33" i="7"/>
  <c r="M34" i="7"/>
  <c r="N34" i="7"/>
  <c r="O34" i="7"/>
  <c r="P34" i="7"/>
  <c r="Q34" i="7"/>
  <c r="M35" i="7"/>
  <c r="N35" i="7"/>
  <c r="O35" i="7"/>
  <c r="P35" i="7"/>
  <c r="Q35" i="7"/>
  <c r="M36" i="7"/>
  <c r="N36" i="7"/>
  <c r="O36" i="7"/>
  <c r="P36" i="7"/>
  <c r="Q36" i="7"/>
  <c r="L4" i="7"/>
  <c r="L5" i="7"/>
  <c r="L6" i="7"/>
  <c r="L7" i="7"/>
  <c r="L8" i="7"/>
  <c r="L9" i="7"/>
  <c r="L10" i="7"/>
  <c r="L11" i="7"/>
  <c r="L12" i="7"/>
  <c r="L13" i="7"/>
  <c r="L14" i="7"/>
  <c r="L15" i="7"/>
  <c r="L16" i="7"/>
  <c r="L17" i="7"/>
  <c r="L18" i="7"/>
  <c r="L19" i="7"/>
  <c r="L20" i="7"/>
  <c r="L21" i="7"/>
  <c r="L22" i="7"/>
  <c r="L23" i="7"/>
  <c r="L24" i="7"/>
  <c r="L25" i="7"/>
  <c r="L26" i="7"/>
  <c r="L27" i="7"/>
  <c r="L28" i="7"/>
  <c r="L29" i="7"/>
  <c r="L30" i="7"/>
  <c r="L31" i="7"/>
  <c r="L32" i="7"/>
  <c r="L33" i="7"/>
  <c r="L34" i="7"/>
  <c r="L35" i="7"/>
  <c r="L36" i="7"/>
  <c r="L3" i="7"/>
  <c r="I3" i="3"/>
  <c r="K3" i="4"/>
  <c r="L3" i="4"/>
  <c r="I2" i="6"/>
  <c r="I5" i="6"/>
  <c r="I4" i="3"/>
  <c r="I6" i="6"/>
  <c r="I5" i="3"/>
  <c r="I7" i="6"/>
  <c r="I6" i="3"/>
  <c r="I8" i="6"/>
  <c r="I7" i="3"/>
  <c r="I9" i="6"/>
  <c r="I8" i="3"/>
  <c r="I10" i="6"/>
  <c r="I9" i="3"/>
  <c r="I11" i="6"/>
  <c r="I10" i="3"/>
  <c r="I12" i="6"/>
  <c r="I11" i="3"/>
  <c r="I13" i="6"/>
  <c r="I12" i="3"/>
  <c r="I14" i="6"/>
  <c r="I13" i="3"/>
  <c r="I15" i="6"/>
  <c r="I14" i="3"/>
  <c r="I16" i="6"/>
  <c r="I15" i="3"/>
  <c r="I17" i="6"/>
  <c r="I16" i="3"/>
  <c r="I18" i="6"/>
  <c r="F3" i="3"/>
  <c r="K4" i="4"/>
  <c r="L4" i="4"/>
  <c r="F2" i="6"/>
  <c r="F5" i="6"/>
  <c r="F4" i="3"/>
  <c r="F6" i="6"/>
  <c r="F5" i="3"/>
  <c r="F7" i="6"/>
  <c r="F6" i="3"/>
  <c r="F8" i="6"/>
  <c r="F7" i="3"/>
  <c r="F9" i="6"/>
  <c r="F8" i="3"/>
  <c r="F10" i="6"/>
  <c r="F9" i="3"/>
  <c r="F11" i="6"/>
  <c r="F10" i="3"/>
  <c r="F12" i="6"/>
  <c r="F11" i="3"/>
  <c r="F13" i="6"/>
  <c r="F12" i="3"/>
  <c r="F14" i="6"/>
  <c r="F13" i="3"/>
  <c r="F15" i="6"/>
  <c r="F14" i="3"/>
  <c r="F16" i="6"/>
  <c r="F15" i="3"/>
  <c r="F17" i="6"/>
  <c r="F16" i="3"/>
  <c r="F18" i="6"/>
  <c r="K8" i="4"/>
  <c r="L8" i="4"/>
  <c r="Q2" i="6"/>
  <c r="P2" i="6"/>
  <c r="K7" i="4"/>
  <c r="L7" i="4"/>
  <c r="O2" i="6"/>
  <c r="N2" i="6"/>
  <c r="K6" i="4"/>
  <c r="L6" i="4"/>
  <c r="M2" i="6"/>
  <c r="L2" i="6"/>
  <c r="K5" i="4"/>
  <c r="L5" i="4"/>
  <c r="K2" i="6"/>
  <c r="J2" i="6"/>
  <c r="H2" i="6"/>
  <c r="G2" i="6"/>
  <c r="Q3" i="7"/>
  <c r="P3" i="7"/>
  <c r="O3" i="7"/>
  <c r="N3" i="7"/>
  <c r="M3" i="7"/>
  <c r="N5" i="6"/>
  <c r="R5" i="6"/>
  <c r="S5" i="6"/>
  <c r="K3" i="3"/>
  <c r="K5" i="6"/>
  <c r="T5" i="6"/>
  <c r="L3" i="3"/>
  <c r="L5" i="6"/>
  <c r="M3" i="3"/>
  <c r="M5" i="6"/>
  <c r="H3" i="3"/>
  <c r="H5" i="6"/>
  <c r="J3" i="3"/>
  <c r="J5" i="6"/>
  <c r="U5" i="6"/>
  <c r="G3" i="3"/>
  <c r="G5" i="6"/>
  <c r="O5" i="6"/>
  <c r="V5" i="6"/>
  <c r="P5" i="6"/>
  <c r="Q5" i="6"/>
  <c r="W5" i="6"/>
  <c r="N6" i="6"/>
  <c r="R6" i="6"/>
  <c r="S6" i="6"/>
  <c r="K4" i="3"/>
  <c r="K6" i="6"/>
  <c r="T6" i="6"/>
  <c r="L4" i="3"/>
  <c r="L6" i="6"/>
  <c r="M4" i="3"/>
  <c r="M6" i="6"/>
  <c r="H4" i="3"/>
  <c r="H6" i="6"/>
  <c r="J4" i="3"/>
  <c r="J6" i="6"/>
  <c r="U6" i="6"/>
  <c r="G4" i="3"/>
  <c r="G6" i="6"/>
  <c r="O6" i="6"/>
  <c r="V6" i="6"/>
  <c r="P6" i="6"/>
  <c r="Q6" i="6"/>
  <c r="W6" i="6"/>
  <c r="N7" i="6"/>
  <c r="R7" i="6"/>
  <c r="S7" i="6"/>
  <c r="K5" i="3"/>
  <c r="K7" i="6"/>
  <c r="T7" i="6"/>
  <c r="L5" i="3"/>
  <c r="L7" i="6"/>
  <c r="M5" i="3"/>
  <c r="M7" i="6"/>
  <c r="H5" i="3"/>
  <c r="H7" i="6"/>
  <c r="J5" i="3"/>
  <c r="J7" i="6"/>
  <c r="U7" i="6"/>
  <c r="G5" i="3"/>
  <c r="G7" i="6"/>
  <c r="O7" i="6"/>
  <c r="V7" i="6"/>
  <c r="P7" i="6"/>
  <c r="Q7" i="6"/>
  <c r="W7" i="6"/>
  <c r="N8" i="6"/>
  <c r="R8" i="6"/>
  <c r="S8" i="6"/>
  <c r="K6" i="3"/>
  <c r="K8" i="6"/>
  <c r="T8" i="6"/>
  <c r="L6" i="3"/>
  <c r="L8" i="6"/>
  <c r="M6" i="3"/>
  <c r="M8" i="6"/>
  <c r="H6" i="3"/>
  <c r="H8" i="6"/>
  <c r="J6" i="3"/>
  <c r="J8" i="6"/>
  <c r="U8" i="6"/>
  <c r="G6" i="3"/>
  <c r="G8" i="6"/>
  <c r="O8" i="6"/>
  <c r="V8" i="6"/>
  <c r="P8" i="6"/>
  <c r="Q8" i="6"/>
  <c r="W8" i="6"/>
  <c r="N9" i="6"/>
  <c r="R9" i="6"/>
  <c r="S9" i="6"/>
  <c r="K7" i="3"/>
  <c r="K9" i="6"/>
  <c r="T9" i="6"/>
  <c r="L7" i="3"/>
  <c r="L9" i="6"/>
  <c r="M7" i="3"/>
  <c r="M9" i="6"/>
  <c r="H7" i="3"/>
  <c r="H9" i="6"/>
  <c r="J7" i="3"/>
  <c r="J9" i="6"/>
  <c r="U9" i="6"/>
  <c r="G7" i="3"/>
  <c r="G9" i="6"/>
  <c r="O9" i="6"/>
  <c r="V9" i="6"/>
  <c r="P9" i="6"/>
  <c r="Q9" i="6"/>
  <c r="W9" i="6"/>
  <c r="N10" i="6"/>
  <c r="R10" i="6"/>
  <c r="S10" i="6"/>
  <c r="K8" i="3"/>
  <c r="K10" i="6"/>
  <c r="T10" i="6"/>
  <c r="L8" i="3"/>
  <c r="L10" i="6"/>
  <c r="M8" i="3"/>
  <c r="M10" i="6"/>
  <c r="H8" i="3"/>
  <c r="H10" i="6"/>
  <c r="J8" i="3"/>
  <c r="J10" i="6"/>
  <c r="U10" i="6"/>
  <c r="G8" i="3"/>
  <c r="G10" i="6"/>
  <c r="O10" i="6"/>
  <c r="V10" i="6"/>
  <c r="P10" i="6"/>
  <c r="Q10" i="6"/>
  <c r="W10" i="6"/>
  <c r="N11" i="6"/>
  <c r="R11" i="6"/>
  <c r="S11" i="6"/>
  <c r="K9" i="3"/>
  <c r="K11" i="6"/>
  <c r="T11" i="6"/>
  <c r="L9" i="3"/>
  <c r="L11" i="6"/>
  <c r="M9" i="3"/>
  <c r="M11" i="6"/>
  <c r="H9" i="3"/>
  <c r="H11" i="6"/>
  <c r="J9" i="3"/>
  <c r="J11" i="6"/>
  <c r="U11" i="6"/>
  <c r="G9" i="3"/>
  <c r="G11" i="6"/>
  <c r="O11" i="6"/>
  <c r="V11" i="6"/>
  <c r="P11" i="6"/>
  <c r="Q11" i="6"/>
  <c r="W11" i="6"/>
  <c r="N12" i="6"/>
  <c r="R12" i="6"/>
  <c r="S12" i="6"/>
  <c r="K10" i="3"/>
  <c r="K12" i="6"/>
  <c r="T12" i="6"/>
  <c r="L10" i="3"/>
  <c r="L12" i="6"/>
  <c r="M10" i="3"/>
  <c r="M12" i="6"/>
  <c r="H10" i="3"/>
  <c r="H12" i="6"/>
  <c r="J10" i="3"/>
  <c r="J12" i="6"/>
  <c r="U12" i="6"/>
  <c r="G10" i="3"/>
  <c r="G12" i="6"/>
  <c r="O12" i="6"/>
  <c r="V12" i="6"/>
  <c r="P12" i="6"/>
  <c r="Q12" i="6"/>
  <c r="W12" i="6"/>
  <c r="N13" i="6"/>
  <c r="R13" i="6"/>
  <c r="S13" i="6"/>
  <c r="K11" i="3"/>
  <c r="K13" i="6"/>
  <c r="T13" i="6"/>
  <c r="L11" i="3"/>
  <c r="L13" i="6"/>
  <c r="M11" i="3"/>
  <c r="M13" i="6"/>
  <c r="H11" i="3"/>
  <c r="H13" i="6"/>
  <c r="J11" i="3"/>
  <c r="J13" i="6"/>
  <c r="U13" i="6"/>
  <c r="G11" i="3"/>
  <c r="G13" i="6"/>
  <c r="O13" i="6"/>
  <c r="V13" i="6"/>
  <c r="P13" i="6"/>
  <c r="Q13" i="6"/>
  <c r="W13" i="6"/>
  <c r="N14" i="6"/>
  <c r="R14" i="6"/>
  <c r="S14" i="6"/>
  <c r="K12" i="3"/>
  <c r="K14" i="6"/>
  <c r="T14" i="6"/>
  <c r="L12" i="3"/>
  <c r="L14" i="6"/>
  <c r="M12" i="3"/>
  <c r="M14" i="6"/>
  <c r="H12" i="3"/>
  <c r="H14" i="6"/>
  <c r="J12" i="3"/>
  <c r="J14" i="6"/>
  <c r="U14" i="6"/>
  <c r="G12" i="3"/>
  <c r="G14" i="6"/>
  <c r="O14" i="6"/>
  <c r="V14" i="6"/>
  <c r="P14" i="6"/>
  <c r="Q14" i="6"/>
  <c r="W14" i="6"/>
  <c r="N15" i="6"/>
  <c r="R15" i="6"/>
  <c r="S15" i="6"/>
  <c r="K13" i="3"/>
  <c r="K15" i="6"/>
  <c r="T15" i="6"/>
  <c r="L13" i="3"/>
  <c r="L15" i="6"/>
  <c r="M13" i="3"/>
  <c r="M15" i="6"/>
  <c r="H13" i="3"/>
  <c r="H15" i="6"/>
  <c r="J13" i="3"/>
  <c r="J15" i="6"/>
  <c r="U15" i="6"/>
  <c r="G13" i="3"/>
  <c r="G15" i="6"/>
  <c r="O15" i="6"/>
  <c r="V15" i="6"/>
  <c r="P15" i="6"/>
  <c r="Q15" i="6"/>
  <c r="W15" i="6"/>
  <c r="N16" i="6"/>
  <c r="R16" i="6"/>
  <c r="S16" i="6"/>
  <c r="K14" i="3"/>
  <c r="K16" i="6"/>
  <c r="T16" i="6"/>
  <c r="L14" i="3"/>
  <c r="L16" i="6"/>
  <c r="M14" i="3"/>
  <c r="M16" i="6"/>
  <c r="H14" i="3"/>
  <c r="H16" i="6"/>
  <c r="J14" i="3"/>
  <c r="J16" i="6"/>
  <c r="U16" i="6"/>
  <c r="G14" i="3"/>
  <c r="G16" i="6"/>
  <c r="O16" i="6"/>
  <c r="V16" i="6"/>
  <c r="P16" i="6"/>
  <c r="Q16" i="6"/>
  <c r="W16" i="6"/>
  <c r="N17" i="6"/>
  <c r="R17" i="6"/>
  <c r="S17" i="6"/>
  <c r="K15" i="3"/>
  <c r="K17" i="6"/>
  <c r="T17" i="6"/>
  <c r="L15" i="3"/>
  <c r="L17" i="6"/>
  <c r="M15" i="3"/>
  <c r="M17" i="6"/>
  <c r="H15" i="3"/>
  <c r="H17" i="6"/>
  <c r="J15" i="3"/>
  <c r="J17" i="6"/>
  <c r="U17" i="6"/>
  <c r="G15" i="3"/>
  <c r="G17" i="6"/>
  <c r="O17" i="6"/>
  <c r="V17" i="6"/>
  <c r="P17" i="6"/>
  <c r="Q17" i="6"/>
  <c r="W17" i="6"/>
  <c r="N18" i="6"/>
  <c r="R18" i="6"/>
  <c r="S18" i="6"/>
  <c r="K16" i="3"/>
  <c r="K18" i="6"/>
  <c r="T18" i="6"/>
  <c r="L16" i="3"/>
  <c r="L18" i="6"/>
  <c r="M16" i="3"/>
  <c r="M18" i="6"/>
  <c r="H16" i="3"/>
  <c r="H18" i="6"/>
  <c r="J16" i="3"/>
  <c r="J18" i="6"/>
  <c r="U18" i="6"/>
  <c r="G16" i="3"/>
  <c r="G18" i="6"/>
  <c r="O18" i="6"/>
  <c r="V18" i="6"/>
  <c r="P18" i="6"/>
  <c r="Q18" i="6"/>
  <c r="W18" i="6"/>
  <c r="I17" i="3"/>
  <c r="I19" i="6"/>
  <c r="N19" i="6"/>
  <c r="R19" i="6"/>
  <c r="F17" i="3"/>
  <c r="F19" i="6"/>
  <c r="S19" i="6"/>
  <c r="K17" i="3"/>
  <c r="K19" i="6"/>
  <c r="T19" i="6"/>
  <c r="L17" i="3"/>
  <c r="L19" i="6"/>
  <c r="M17" i="3"/>
  <c r="M19" i="6"/>
  <c r="H17" i="3"/>
  <c r="H19" i="6"/>
  <c r="J17" i="3"/>
  <c r="J19" i="6"/>
  <c r="U19" i="6"/>
  <c r="G17" i="3"/>
  <c r="G19" i="6"/>
  <c r="O19" i="6"/>
  <c r="V19" i="6"/>
  <c r="P19" i="6"/>
  <c r="Q19" i="6"/>
  <c r="W19" i="6"/>
  <c r="I18" i="3"/>
  <c r="I20" i="6"/>
  <c r="N20" i="6"/>
  <c r="R20" i="6"/>
  <c r="F18" i="3"/>
  <c r="F20" i="6"/>
  <c r="S20" i="6"/>
  <c r="K18" i="3"/>
  <c r="K20" i="6"/>
  <c r="T20" i="6"/>
  <c r="L18" i="3"/>
  <c r="L20" i="6"/>
  <c r="M18" i="3"/>
  <c r="M20" i="6"/>
  <c r="H18" i="3"/>
  <c r="H20" i="6"/>
  <c r="J18" i="3"/>
  <c r="J20" i="6"/>
  <c r="U20" i="6"/>
  <c r="G18" i="3"/>
  <c r="G20" i="6"/>
  <c r="O20" i="6"/>
  <c r="V20" i="6"/>
  <c r="P20" i="6"/>
  <c r="Q20" i="6"/>
  <c r="W20" i="6"/>
  <c r="I19" i="3"/>
  <c r="I21" i="6"/>
  <c r="N21" i="6"/>
  <c r="R21" i="6"/>
  <c r="F19" i="3"/>
  <c r="F21" i="6"/>
  <c r="S21" i="6"/>
  <c r="K19" i="3"/>
  <c r="K21" i="6"/>
  <c r="T21" i="6"/>
  <c r="L19" i="3"/>
  <c r="L21" i="6"/>
  <c r="M19" i="3"/>
  <c r="M21" i="6"/>
  <c r="H19" i="3"/>
  <c r="H21" i="6"/>
  <c r="J19" i="3"/>
  <c r="J21" i="6"/>
  <c r="U21" i="6"/>
  <c r="G19" i="3"/>
  <c r="G21" i="6"/>
  <c r="O21" i="6"/>
  <c r="V21" i="6"/>
  <c r="P21" i="6"/>
  <c r="Q21" i="6"/>
  <c r="W21" i="6"/>
  <c r="I20" i="3"/>
  <c r="I22" i="6"/>
  <c r="N22" i="6"/>
  <c r="R22" i="6"/>
  <c r="F20" i="3"/>
  <c r="F22" i="6"/>
  <c r="S22" i="6"/>
  <c r="K20" i="3"/>
  <c r="K22" i="6"/>
  <c r="T22" i="6"/>
  <c r="L20" i="3"/>
  <c r="L22" i="6"/>
  <c r="M20" i="3"/>
  <c r="M22" i="6"/>
  <c r="H20" i="3"/>
  <c r="H22" i="6"/>
  <c r="J20" i="3"/>
  <c r="J22" i="6"/>
  <c r="U22" i="6"/>
  <c r="G20" i="3"/>
  <c r="G22" i="6"/>
  <c r="O22" i="6"/>
  <c r="V22" i="6"/>
  <c r="P22" i="6"/>
  <c r="Q22" i="6"/>
  <c r="W22" i="6"/>
  <c r="I21" i="3"/>
  <c r="I23" i="6"/>
  <c r="N23" i="6"/>
  <c r="R23" i="6"/>
  <c r="F21" i="3"/>
  <c r="F23" i="6"/>
  <c r="S23" i="6"/>
  <c r="K21" i="3"/>
  <c r="K23" i="6"/>
  <c r="T23" i="6"/>
  <c r="L21" i="3"/>
  <c r="L23" i="6"/>
  <c r="M21" i="3"/>
  <c r="M23" i="6"/>
  <c r="H21" i="3"/>
  <c r="H23" i="6"/>
  <c r="J21" i="3"/>
  <c r="J23" i="6"/>
  <c r="U23" i="6"/>
  <c r="G21" i="3"/>
  <c r="G23" i="6"/>
  <c r="O23" i="6"/>
  <c r="V23" i="6"/>
  <c r="P23" i="6"/>
  <c r="Q23" i="6"/>
  <c r="W23" i="6"/>
  <c r="I22" i="3"/>
  <c r="I24" i="6"/>
  <c r="N24" i="6"/>
  <c r="R24" i="6"/>
  <c r="F22" i="3"/>
  <c r="F24" i="6"/>
  <c r="S24" i="6"/>
  <c r="K22" i="3"/>
  <c r="K24" i="6"/>
  <c r="T24" i="6"/>
  <c r="L22" i="3"/>
  <c r="L24" i="6"/>
  <c r="M22" i="3"/>
  <c r="M24" i="6"/>
  <c r="H22" i="3"/>
  <c r="H24" i="6"/>
  <c r="J22" i="3"/>
  <c r="J24" i="6"/>
  <c r="U24" i="6"/>
  <c r="G22" i="3"/>
  <c r="G24" i="6"/>
  <c r="O24" i="6"/>
  <c r="V24" i="6"/>
  <c r="P24" i="6"/>
  <c r="Q24" i="6"/>
  <c r="W24" i="6"/>
  <c r="I23" i="3"/>
  <c r="I25" i="6"/>
  <c r="N25" i="6"/>
  <c r="R25" i="6"/>
  <c r="F23" i="3"/>
  <c r="F25" i="6"/>
  <c r="S25" i="6"/>
  <c r="K23" i="3"/>
  <c r="K25" i="6"/>
  <c r="T25" i="6"/>
  <c r="L23" i="3"/>
  <c r="L25" i="6"/>
  <c r="M23" i="3"/>
  <c r="M25" i="6"/>
  <c r="H23" i="3"/>
  <c r="H25" i="6"/>
  <c r="J23" i="3"/>
  <c r="J25" i="6"/>
  <c r="U25" i="6"/>
  <c r="G23" i="3"/>
  <c r="G25" i="6"/>
  <c r="O25" i="6"/>
  <c r="V25" i="6"/>
  <c r="P25" i="6"/>
  <c r="Q25" i="6"/>
  <c r="W25" i="6"/>
  <c r="I24" i="3"/>
  <c r="I26" i="6"/>
  <c r="N26" i="6"/>
  <c r="R26" i="6"/>
  <c r="F24" i="3"/>
  <c r="F26" i="6"/>
  <c r="S26" i="6"/>
  <c r="K24" i="3"/>
  <c r="K26" i="6"/>
  <c r="T26" i="6"/>
  <c r="L24" i="3"/>
  <c r="L26" i="6"/>
  <c r="M24" i="3"/>
  <c r="M26" i="6"/>
  <c r="H24" i="3"/>
  <c r="H26" i="6"/>
  <c r="J24" i="3"/>
  <c r="J26" i="6"/>
  <c r="U26" i="6"/>
  <c r="G24" i="3"/>
  <c r="G26" i="6"/>
  <c r="O26" i="6"/>
  <c r="V26" i="6"/>
  <c r="P26" i="6"/>
  <c r="Q26" i="6"/>
  <c r="W26" i="6"/>
  <c r="I25" i="3"/>
  <c r="I27" i="6"/>
  <c r="N27" i="6"/>
  <c r="R27" i="6"/>
  <c r="F25" i="3"/>
  <c r="F27" i="6"/>
  <c r="S27" i="6"/>
  <c r="K25" i="3"/>
  <c r="K27" i="6"/>
  <c r="T27" i="6"/>
  <c r="L25" i="3"/>
  <c r="L27" i="6"/>
  <c r="M25" i="3"/>
  <c r="M27" i="6"/>
  <c r="H25" i="3"/>
  <c r="H27" i="6"/>
  <c r="J25" i="3"/>
  <c r="J27" i="6"/>
  <c r="U27" i="6"/>
  <c r="G25" i="3"/>
  <c r="G27" i="6"/>
  <c r="O27" i="6"/>
  <c r="V27" i="6"/>
  <c r="P27" i="6"/>
  <c r="Q27" i="6"/>
  <c r="W27" i="6"/>
  <c r="I26" i="3"/>
  <c r="I28" i="6"/>
  <c r="N28" i="6"/>
  <c r="R28" i="6"/>
  <c r="F26" i="3"/>
  <c r="F28" i="6"/>
  <c r="S28" i="6"/>
  <c r="K26" i="3"/>
  <c r="K28" i="6"/>
  <c r="T28" i="6"/>
  <c r="L26" i="3"/>
  <c r="L28" i="6"/>
  <c r="M26" i="3"/>
  <c r="M28" i="6"/>
  <c r="H26" i="3"/>
  <c r="H28" i="6"/>
  <c r="J26" i="3"/>
  <c r="J28" i="6"/>
  <c r="U28" i="6"/>
  <c r="G26" i="3"/>
  <c r="G28" i="6"/>
  <c r="O28" i="6"/>
  <c r="V28" i="6"/>
  <c r="P28" i="6"/>
  <c r="Q28" i="6"/>
  <c r="W28" i="6"/>
  <c r="I27" i="3"/>
  <c r="I29" i="6"/>
  <c r="N29" i="6"/>
  <c r="R29" i="6"/>
  <c r="F27" i="3"/>
  <c r="F29" i="6"/>
  <c r="S29" i="6"/>
  <c r="K27" i="3"/>
  <c r="K29" i="6"/>
  <c r="T29" i="6"/>
  <c r="L27" i="3"/>
  <c r="L29" i="6"/>
  <c r="M27" i="3"/>
  <c r="M29" i="6"/>
  <c r="H27" i="3"/>
  <c r="H29" i="6"/>
  <c r="J27" i="3"/>
  <c r="J29" i="6"/>
  <c r="U29" i="6"/>
  <c r="G27" i="3"/>
  <c r="G29" i="6"/>
  <c r="O29" i="6"/>
  <c r="V29" i="6"/>
  <c r="P29" i="6"/>
  <c r="Q29" i="6"/>
  <c r="W29" i="6"/>
  <c r="I28" i="3"/>
  <c r="I30" i="6"/>
  <c r="N30" i="6"/>
  <c r="R30" i="6"/>
  <c r="F28" i="3"/>
  <c r="F30" i="6"/>
  <c r="S30" i="6"/>
  <c r="K28" i="3"/>
  <c r="K30" i="6"/>
  <c r="T30" i="6"/>
  <c r="L28" i="3"/>
  <c r="L30" i="6"/>
  <c r="M28" i="3"/>
  <c r="M30" i="6"/>
  <c r="H28" i="3"/>
  <c r="H30" i="6"/>
  <c r="J28" i="3"/>
  <c r="J30" i="6"/>
  <c r="U30" i="6"/>
  <c r="G28" i="3"/>
  <c r="G30" i="6"/>
  <c r="O30" i="6"/>
  <c r="V30" i="6"/>
  <c r="P30" i="6"/>
  <c r="Q30" i="6"/>
  <c r="W30" i="6"/>
  <c r="I29" i="3"/>
  <c r="I31" i="6"/>
  <c r="N31" i="6"/>
  <c r="R31" i="6"/>
  <c r="F29" i="3"/>
  <c r="F31" i="6"/>
  <c r="S31" i="6"/>
  <c r="K29" i="3"/>
  <c r="K31" i="6"/>
  <c r="T31" i="6"/>
  <c r="L29" i="3"/>
  <c r="L31" i="6"/>
  <c r="M29" i="3"/>
  <c r="M31" i="6"/>
  <c r="H29" i="3"/>
  <c r="H31" i="6"/>
  <c r="J29" i="3"/>
  <c r="J31" i="6"/>
  <c r="U31" i="6"/>
  <c r="G29" i="3"/>
  <c r="G31" i="6"/>
  <c r="O31" i="6"/>
  <c r="V31" i="6"/>
  <c r="P31" i="6"/>
  <c r="Q31" i="6"/>
  <c r="W31" i="6"/>
  <c r="I30" i="3"/>
  <c r="I32" i="6"/>
  <c r="N32" i="6"/>
  <c r="R32" i="6"/>
  <c r="F30" i="3"/>
  <c r="F32" i="6"/>
  <c r="S32" i="6"/>
  <c r="K30" i="3"/>
  <c r="K32" i="6"/>
  <c r="T32" i="6"/>
  <c r="L30" i="3"/>
  <c r="L32" i="6"/>
  <c r="M30" i="3"/>
  <c r="M32" i="6"/>
  <c r="H30" i="3"/>
  <c r="H32" i="6"/>
  <c r="J30" i="3"/>
  <c r="J32" i="6"/>
  <c r="U32" i="6"/>
  <c r="G30" i="3"/>
  <c r="G32" i="6"/>
  <c r="O32" i="6"/>
  <c r="V32" i="6"/>
  <c r="P32" i="6"/>
  <c r="Q32" i="6"/>
  <c r="W32" i="6"/>
  <c r="I31" i="3"/>
  <c r="I33" i="6"/>
  <c r="N33" i="6"/>
  <c r="R33" i="6"/>
  <c r="F31" i="3"/>
  <c r="F33" i="6"/>
  <c r="S33" i="6"/>
  <c r="K31" i="3"/>
  <c r="K33" i="6"/>
  <c r="T33" i="6"/>
  <c r="L31" i="3"/>
  <c r="L33" i="6"/>
  <c r="M31" i="3"/>
  <c r="M33" i="6"/>
  <c r="H31" i="3"/>
  <c r="H33" i="6"/>
  <c r="J31" i="3"/>
  <c r="J33" i="6"/>
  <c r="U33" i="6"/>
  <c r="G31" i="3"/>
  <c r="G33" i="6"/>
  <c r="O33" i="6"/>
  <c r="V33" i="6"/>
  <c r="P33" i="6"/>
  <c r="Q33" i="6"/>
  <c r="W33" i="6"/>
  <c r="I32" i="3"/>
  <c r="I34" i="6"/>
  <c r="N34" i="6"/>
  <c r="R34" i="6"/>
  <c r="F32" i="3"/>
  <c r="F34" i="6"/>
  <c r="S34" i="6"/>
  <c r="K32" i="3"/>
  <c r="K34" i="6"/>
  <c r="T34" i="6"/>
  <c r="L32" i="3"/>
  <c r="L34" i="6"/>
  <c r="M32" i="3"/>
  <c r="M34" i="6"/>
  <c r="H32" i="3"/>
  <c r="H34" i="6"/>
  <c r="J32" i="3"/>
  <c r="J34" i="6"/>
  <c r="U34" i="6"/>
  <c r="G32" i="3"/>
  <c r="G34" i="6"/>
  <c r="O34" i="6"/>
  <c r="V34" i="6"/>
  <c r="P34" i="6"/>
  <c r="Q34" i="6"/>
  <c r="W34" i="6"/>
  <c r="I33" i="3"/>
  <c r="I35" i="6"/>
  <c r="N35" i="6"/>
  <c r="R35" i="6"/>
  <c r="F33" i="3"/>
  <c r="F35" i="6"/>
  <c r="S35" i="6"/>
  <c r="K33" i="3"/>
  <c r="K35" i="6"/>
  <c r="T35" i="6"/>
  <c r="L33" i="3"/>
  <c r="L35" i="6"/>
  <c r="M33" i="3"/>
  <c r="M35" i="6"/>
  <c r="H33" i="3"/>
  <c r="H35" i="6"/>
  <c r="J33" i="3"/>
  <c r="J35" i="6"/>
  <c r="U35" i="6"/>
  <c r="G33" i="3"/>
  <c r="G35" i="6"/>
  <c r="O35" i="6"/>
  <c r="V35" i="6"/>
  <c r="P35" i="6"/>
  <c r="Q35" i="6"/>
  <c r="W35" i="6"/>
  <c r="I34" i="3"/>
  <c r="I36" i="6"/>
  <c r="N36" i="6"/>
  <c r="R36" i="6"/>
  <c r="F34" i="3"/>
  <c r="F36" i="6"/>
  <c r="S36" i="6"/>
  <c r="K34" i="3"/>
  <c r="K36" i="6"/>
  <c r="T36" i="6"/>
  <c r="L34" i="3"/>
  <c r="L36" i="6"/>
  <c r="M34" i="3"/>
  <c r="M36" i="6"/>
  <c r="H34" i="3"/>
  <c r="H36" i="6"/>
  <c r="J34" i="3"/>
  <c r="J36" i="6"/>
  <c r="U36" i="6"/>
  <c r="G34" i="3"/>
  <c r="G36" i="6"/>
  <c r="O36" i="6"/>
  <c r="V36" i="6"/>
  <c r="P36" i="6"/>
  <c r="Q36" i="6"/>
  <c r="W36" i="6"/>
  <c r="I35" i="3"/>
  <c r="I37" i="6"/>
  <c r="N37" i="6"/>
  <c r="R37" i="6"/>
  <c r="F35" i="3"/>
  <c r="F37" i="6"/>
  <c r="S37" i="6"/>
  <c r="K35" i="3"/>
  <c r="K37" i="6"/>
  <c r="T37" i="6"/>
  <c r="L35" i="3"/>
  <c r="L37" i="6"/>
  <c r="M35" i="3"/>
  <c r="M37" i="6"/>
  <c r="H35" i="3"/>
  <c r="H37" i="6"/>
  <c r="J35" i="3"/>
  <c r="J37" i="6"/>
  <c r="U37" i="6"/>
  <c r="G35" i="3"/>
  <c r="G37" i="6"/>
  <c r="O37" i="6"/>
  <c r="V37" i="6"/>
  <c r="P37" i="6"/>
  <c r="Q37" i="6"/>
  <c r="W37" i="6"/>
  <c r="P4" i="6"/>
  <c r="Q4" i="6"/>
  <c r="W4" i="6"/>
  <c r="G2" i="3"/>
  <c r="G4" i="6"/>
  <c r="O4" i="6"/>
  <c r="V4" i="6"/>
  <c r="L2" i="3"/>
  <c r="L4" i="6"/>
  <c r="M2" i="3"/>
  <c r="M4" i="6"/>
  <c r="H2" i="3"/>
  <c r="H4" i="6"/>
  <c r="J2" i="3"/>
  <c r="J4" i="6"/>
  <c r="U4" i="6"/>
  <c r="I2" i="3"/>
  <c r="I4" i="6"/>
  <c r="N4" i="6"/>
  <c r="R4" i="6"/>
  <c r="K2" i="3"/>
  <c r="K4" i="6"/>
  <c r="T4" i="6"/>
  <c r="F2" i="3"/>
  <c r="F4" i="6"/>
  <c r="S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tc={DBF9625F-61FC-4B85-80DC-CA63FB8DE91C}</author>
    <author>tc={D3E373A9-BCE8-4E35-9D71-5FFB2E1D4D58}</author>
  </authors>
  <commentList>
    <comment ref="G25" authorId="0" shapeId="0" xr:uid="{00000000-0006-0000-0100-000001000000}">
      <text>
        <t>[Threaded comment]
Your version of Excel allows you to read this threaded comment; however, any edits to it will get removed if the file is opened in a newer version of Excel. Learn more: https://go.microsoft.com/fwlink/?linkid=870924
Comment:
    This was originally zero people with marginal access is a green light- changed to less than 15000 for purposes of scoring</t>
      </text>
    </comment>
    <comment ref="G29" authorId="1" shapeId="0" xr:uid="{00000000-0006-0000-0100-000002000000}">
      <text>
        <t>[Threaded comment]
Your version of Excel allows you to read this threaded comment; however, any edits to it will get removed if the file is opened in a newer version of Excel. Learn more: https://go.microsoft.com/fwlink/?linkid=870924
Comment:
    This was originally zero people with marginal access is a green light- changed to less than 15000 for purposes of scoring</t>
      </text>
    </comment>
  </commentList>
</comments>
</file>

<file path=xl/sharedStrings.xml><?xml version="1.0" encoding="utf-8"?>
<sst xmlns="http://schemas.openxmlformats.org/spreadsheetml/2006/main" count="1019" uniqueCount="237">
  <si>
    <t>Company</t>
  </si>
  <si>
    <t>Type</t>
  </si>
  <si>
    <t>Full Address</t>
  </si>
  <si>
    <t>County</t>
  </si>
  <si>
    <t>Water Retailer</t>
  </si>
  <si>
    <t>System 2 (if applicable)</t>
  </si>
  <si>
    <t>Wholesaler (if applicable)</t>
  </si>
  <si>
    <t>Water Quality Impaired (WQI)</t>
  </si>
  <si>
    <t>WQI Rank</t>
  </si>
  <si>
    <t>Flood Risk (FR)</t>
  </si>
  <si>
    <t>FR Rank</t>
  </si>
  <si>
    <t>DAC?</t>
  </si>
  <si>
    <t>DAC Rank</t>
  </si>
  <si>
    <t>Turf area (*response metric)</t>
  </si>
  <si>
    <t>System GPCD (July 2017)</t>
  </si>
  <si>
    <t>SGPCD Rank</t>
  </si>
  <si>
    <t>Residential GPCD (July 2017)</t>
  </si>
  <si>
    <t>% of GPCD Non-Res</t>
  </si>
  <si>
    <t>CalEnviroScreen Drinking Water Percentile (avg for zip code) (DWP)</t>
  </si>
  <si>
    <t>DWP Rank</t>
  </si>
  <si>
    <t>CA Stream Condition Index</t>
  </si>
  <si>
    <t>Imported water % of water retailer (2015 UWMP)</t>
  </si>
  <si>
    <t>Toilet access?</t>
  </si>
  <si>
    <t>Hot/cold water?</t>
  </si>
  <si>
    <t>Coca Cola</t>
  </si>
  <si>
    <t>Bottling (water)</t>
  </si>
  <si>
    <t>2121 East Winston Road, Anaheim , CA</t>
  </si>
  <si>
    <t>Orange</t>
  </si>
  <si>
    <t>City of Anaheim</t>
  </si>
  <si>
    <t>MWD</t>
  </si>
  <si>
    <t>Yes</t>
  </si>
  <si>
    <t>No</t>
  </si>
  <si>
    <t>Target</t>
  </si>
  <si>
    <t>Store</t>
  </si>
  <si>
    <t>101 S Euclid St, Anaheim, CA</t>
  </si>
  <si>
    <t>PepsiCo</t>
  </si>
  <si>
    <t>Bottling</t>
  </si>
  <si>
    <t>6261 Caballero Blvd, Buena Park, CA</t>
  </si>
  <si>
    <t>City of Buena Park</t>
  </si>
  <si>
    <t xml:space="preserve">Yes </t>
  </si>
  <si>
    <t>5555 Philadelphia St, Chino, CA</t>
  </si>
  <si>
    <t>San Bernardino</t>
  </si>
  <si>
    <t>City of Chino, CA</t>
  </si>
  <si>
    <t>13831 Brookhurst St, Garden Grove, CA</t>
  </si>
  <si>
    <t>City of Garden Grove, CA</t>
  </si>
  <si>
    <t>9882 Adams Ave, Huntington Beach, CA</t>
  </si>
  <si>
    <t>City of Huntington Beach, CA</t>
  </si>
  <si>
    <t>499 W Orange Show Rd, San Bernardino, CA</t>
  </si>
  <si>
    <t>City of San Bernardino, CA - Water</t>
  </si>
  <si>
    <t>1330 E 17th St, Santa Ana, CA</t>
  </si>
  <si>
    <t>City of Santa Ana, CA</t>
  </si>
  <si>
    <t>16400 Beach Blvd, Westminster, CA</t>
  </si>
  <si>
    <t>City of Westminster, CA</t>
  </si>
  <si>
    <t>200 Westminster Mall, Westminster, CA</t>
  </si>
  <si>
    <t>10576 Foothill Blvd, Rancho Cucamonga, CA</t>
  </si>
  <si>
    <t>Cucamonga Valley Water District</t>
  </si>
  <si>
    <t>2380 Sterling Ave, San Bernardino, CA</t>
  </si>
  <si>
    <t>East Valley Water District</t>
  </si>
  <si>
    <t>27100 Eucalyptus Ave, Moreno Valley, CA</t>
  </si>
  <si>
    <t>Riverside</t>
  </si>
  <si>
    <t>Eastern Municipal Water District</t>
  </si>
  <si>
    <t>30340 Haun Rd, Menifee, CA</t>
  </si>
  <si>
    <t>18287 Collier Ave, Lake Elsinore, CA</t>
  </si>
  <si>
    <t>Elsinore Valley Municipal Water District</t>
  </si>
  <si>
    <t>Distribution Center</t>
  </si>
  <si>
    <t>2245 W Renaissance Pkwy, Rialto, CA</t>
  </si>
  <si>
    <t>San Gabriel Valley WD - Fontana</t>
  </si>
  <si>
    <t>6835 Katella Ave, Cypress, CA</t>
  </si>
  <si>
    <t>Golden State Water Co.</t>
  </si>
  <si>
    <t>Hilton</t>
  </si>
  <si>
    <t>Embassy Suites</t>
  </si>
  <si>
    <t>2120 Main St, Irvine, CA</t>
  </si>
  <si>
    <t>Irvine Ranch Water District</t>
  </si>
  <si>
    <t>2300 Park Ave, Tustin, CA</t>
  </si>
  <si>
    <t>3750 Barranca Pkwy, Irvine, CA</t>
  </si>
  <si>
    <t>NUSA</t>
  </si>
  <si>
    <t>3450 Dulles Dr, Mira Loma, CA</t>
  </si>
  <si>
    <t>Jurupa Community Service District</t>
  </si>
  <si>
    <t>Western MWD</t>
  </si>
  <si>
    <t>3030 Harbor Blvd Ste A, Costa Mesa, CA</t>
  </si>
  <si>
    <t>Mesa Water District</t>
  </si>
  <si>
    <t>9052 Central Ave, Montclair, CA</t>
  </si>
  <si>
    <t>Monte Vista Water District</t>
  </si>
  <si>
    <t>Syrup</t>
  </si>
  <si>
    <t>1650 S Vintage Ave, Ontario, CA</t>
  </si>
  <si>
    <t>Ontario Municipal Utilities Company</t>
  </si>
  <si>
    <t>IEUA</t>
  </si>
  <si>
    <t>4200 E 4th St, Ontario, CA</t>
  </si>
  <si>
    <t>NWNA</t>
  </si>
  <si>
    <t>5772 E Jurupa St, Ontario, CA</t>
  </si>
  <si>
    <t>3520 Tyler St, Riverside, CA</t>
  </si>
  <si>
    <t>Riverside Public Utilities, CA</t>
  </si>
  <si>
    <t>Ecolab</t>
  </si>
  <si>
    <t>Manufacturing</t>
  </si>
  <si>
    <t>18383 Railroad St, City of Industry, CA</t>
  </si>
  <si>
    <t>Los Angeles</t>
  </si>
  <si>
    <t>Rowland Water District</t>
  </si>
  <si>
    <t>Three Valleys MWD</t>
  </si>
  <si>
    <t>351 Cheryl Ln, Walnut, CA</t>
  </si>
  <si>
    <t>Walnut Valley Water District</t>
  </si>
  <si>
    <t>3105 N Mango Ave, Rialto, CA</t>
  </si>
  <si>
    <t>West Valley Water District</t>
  </si>
  <si>
    <t>3110 N Alder Ave, Rialto, CA</t>
  </si>
  <si>
    <t>4416 Azusa Canyon Rd, Irwindale, CA</t>
  </si>
  <si>
    <t>Valley County Water District</t>
  </si>
  <si>
    <t>6659 Sycamore Canyon Blvd, Riverside, CA</t>
  </si>
  <si>
    <t>Frito Lay</t>
  </si>
  <si>
    <t>9535 Archibald Ave, Rancho Cucamonga, CA</t>
  </si>
  <si>
    <t>Water Provider</t>
  </si>
  <si>
    <t>Local surface water</t>
  </si>
  <si>
    <t>Local groundwater</t>
  </si>
  <si>
    <t>Imported or Purchased Water</t>
  </si>
  <si>
    <t>Recycled Water</t>
  </si>
  <si>
    <t>Desalinated Water</t>
  </si>
  <si>
    <t>Other</t>
  </si>
  <si>
    <t>Total</t>
  </si>
  <si>
    <t>% Imported</t>
  </si>
  <si>
    <t>July 2017 System GPCD</t>
  </si>
  <si>
    <t>July 2017 Res GPCD</t>
  </si>
  <si>
    <t>Non-Res GPCD</t>
  </si>
  <si>
    <t>Non-Res %</t>
  </si>
  <si>
    <t>Golden State Water Co. - Artesia?</t>
  </si>
  <si>
    <t>San Gabriel Valley WC - Fontana</t>
  </si>
  <si>
    <t xml:space="preserve">Western Municipal Water District </t>
  </si>
  <si>
    <t>CSCI Rank</t>
  </si>
  <si>
    <t>Water Challenge</t>
  </si>
  <si>
    <t>Metric</t>
  </si>
  <si>
    <t>Rank</t>
  </si>
  <si>
    <t>Water quality</t>
  </si>
  <si>
    <t>Extreme events</t>
  </si>
  <si>
    <t>WASH</t>
  </si>
  <si>
    <t>Water quantity</t>
  </si>
  <si>
    <t>Ecosystems</t>
  </si>
  <si>
    <t>Water quality impairment from SAWPA map, based on 303d list</t>
  </si>
  <si>
    <t>Flood risk from SAWPA map, based on 100 and 500 year floodplain</t>
  </si>
  <si>
    <t>Disadavantaged communities from SAWPA map, based on CalEnviroScreen</t>
  </si>
  <si>
    <t>System GPCD for water agency from July 2017</t>
  </si>
  <si>
    <t>Drinking water quality percentile from CalEnviroScreen</t>
  </si>
  <si>
    <t>California Stream Condition Index</t>
  </si>
  <si>
    <t>Scope</t>
  </si>
  <si>
    <t>Subwatershed</t>
  </si>
  <si>
    <t>Census tract?</t>
  </si>
  <si>
    <t>Water retailer</t>
  </si>
  <si>
    <t>Zip code</t>
  </si>
  <si>
    <t>683+</t>
  </si>
  <si>
    <t>&lt;682</t>
  </si>
  <si>
    <t>&lt;582</t>
  </si>
  <si>
    <t>&lt;300</t>
  </si>
  <si>
    <t>Very likely altered (0.1-0.62)</t>
  </si>
  <si>
    <t>Likely altered (0.62-0.79)</t>
  </si>
  <si>
    <t>Possibly altered (0.79-0.92)</t>
  </si>
  <si>
    <t>Likely intact (0.92-1.4)</t>
  </si>
  <si>
    <t>If yes</t>
  </si>
  <si>
    <t>If no</t>
  </si>
  <si>
    <t>Ranking Method</t>
  </si>
  <si>
    <r>
      <t xml:space="preserve">Sub-Watershed Level </t>
    </r>
    <r>
      <rPr>
        <b/>
        <sz val="11"/>
        <color rgb="FFFF0000"/>
        <rFont val="Calibri"/>
        <family val="2"/>
        <scheme val="minor"/>
      </rPr>
      <t>- This will be what differentiates sites from one another</t>
    </r>
  </si>
  <si>
    <r>
      <t xml:space="preserve">Source Watershed Level (Sac-SJ Delta, CO River Delta) </t>
    </r>
    <r>
      <rPr>
        <b/>
        <sz val="11"/>
        <color rgb="FFFF0000"/>
        <rFont val="Calibri"/>
        <family val="2"/>
        <scheme val="minor"/>
      </rPr>
      <t xml:space="preserve">This will only be applicable for sites that exceed some determined threshold of depenedence on imported water </t>
    </r>
  </si>
  <si>
    <t>Water Quantity</t>
  </si>
  <si>
    <t>X</t>
  </si>
  <si>
    <t>System-wide GPCD of water service provider (WSP) (gallons) (July 2017)</t>
  </si>
  <si>
    <t xml:space="preserve">Water Quality </t>
  </si>
  <si>
    <t>Water quality from SAWPA map (303d list) (Y / N)</t>
  </si>
  <si>
    <t>DAC from SAWPA map (Y / N)</t>
  </si>
  <si>
    <t>Extreme Events</t>
  </si>
  <si>
    <t>Flood risk from SAWPA map (FEMA) (Y / N)</t>
  </si>
  <si>
    <t>Precipitation variability (0.1-0.7)</t>
  </si>
  <si>
    <r>
      <t xml:space="preserve">Percent of WSP supply portfolio that is imported (%) / breakdown of portfolio - </t>
    </r>
    <r>
      <rPr>
        <sz val="11"/>
        <color rgb="FFFF0000"/>
        <rFont val="Calibri"/>
        <family val="2"/>
        <scheme val="minor"/>
      </rPr>
      <t>This triggers whether source watershed data (column E) is relevant. Also may indicate where we need to look at the condition of groundwater resources. But then, should this even be its own metric, or an overlay we do at the outset to understand what water sources need to be examined?</t>
    </r>
  </si>
  <si>
    <t>Water Governance</t>
  </si>
  <si>
    <t>Toilet access</t>
  </si>
  <si>
    <t>Hot/cold water access</t>
  </si>
  <si>
    <r>
      <t xml:space="preserve">Local Watershed Level (SARW) </t>
    </r>
    <r>
      <rPr>
        <b/>
        <sz val="11"/>
        <color rgb="FFFF0000"/>
        <rFont val="Calibri"/>
        <family val="2"/>
        <scheme val="minor"/>
      </rPr>
      <t>This will be the same for all sites in the watershed - What is currently in basin diagnostic</t>
    </r>
  </si>
  <si>
    <t>Water depletion</t>
  </si>
  <si>
    <t>Consideration of hydrologic extremes in water planning documents (qualitative or Y/N)</t>
  </si>
  <si>
    <t>Funding for water infrastructure and management (statewide)</t>
  </si>
  <si>
    <t>Infrastructure conditions (statewide)</t>
  </si>
  <si>
    <t>Ecosystem health (various indicators depending on system)</t>
  </si>
  <si>
    <t>CalEnviroScreen drinking water percentile (safety)</t>
  </si>
  <si>
    <t>X -- not currently in basin diagnostic but could be</t>
  </si>
  <si>
    <t>Above statewide average (102.7) by &gt;10% - so &gt;112.97</t>
  </si>
  <si>
    <t>Above statewide average by &gt;5% - so &gt;107.84</t>
  </si>
  <si>
    <t>Within 5% either direction of statewide average - so between 97.57 and 107.84</t>
  </si>
  <si>
    <t>Below statewide average by &gt;5% - so below 97.57</t>
  </si>
  <si>
    <t># of individuals lacking toilets</t>
  </si>
  <si>
    <t># of individuals lacking hot/cold running water</t>
  </si>
  <si>
    <t>Over 45,000 people with marginal or unacceptable access</t>
  </si>
  <si>
    <t>Over 30,000 people with marginal or unacceptable access</t>
  </si>
  <si>
    <t>Over 15,000 people with marginal or unacceptable access</t>
  </si>
  <si>
    <t>Toilet Rank</t>
  </si>
  <si>
    <t>Running Water Rank</t>
  </si>
  <si>
    <r>
      <rPr>
        <sz val="11"/>
        <color rgb="FFFF0000"/>
        <rFont val="Calibri"/>
        <family val="2"/>
        <scheme val="minor"/>
      </rPr>
      <t>Less than 15000</t>
    </r>
    <r>
      <rPr>
        <sz val="11"/>
        <color theme="1"/>
        <rFont val="Calibri"/>
        <family val="2"/>
        <scheme val="minor"/>
      </rPr>
      <t xml:space="preserve"> people with marginal or unacceptable access</t>
    </r>
  </si>
  <si>
    <t>WQI Score</t>
  </si>
  <si>
    <t>FR Score</t>
  </si>
  <si>
    <t>DAC Score</t>
  </si>
  <si>
    <t>SGPCD Score</t>
  </si>
  <si>
    <t>DWP Score</t>
  </si>
  <si>
    <t>CSCI Score</t>
  </si>
  <si>
    <t>Toilet Score</t>
  </si>
  <si>
    <t>Running Water Score</t>
  </si>
  <si>
    <t>Score= Rank*Weight</t>
  </si>
  <si>
    <t>Weight -&gt;</t>
  </si>
  <si>
    <t>Sum of Weighted Score</t>
  </si>
  <si>
    <t>% of facility's total score</t>
  </si>
  <si>
    <t>Challenge Total Score</t>
  </si>
  <si>
    <t>ID</t>
  </si>
  <si>
    <t>WD Rank</t>
  </si>
  <si>
    <t>Precip Rank</t>
  </si>
  <si>
    <t>InfrFunding Rank</t>
  </si>
  <si>
    <t>InfrCondtns Rank</t>
  </si>
  <si>
    <t>ImportedWater Rank</t>
  </si>
  <si>
    <t>Governance</t>
  </si>
  <si>
    <t>&gt;75% annual depletion</t>
  </si>
  <si>
    <t>Seasonal depletion</t>
  </si>
  <si>
    <t>Dry-year depletion</t>
  </si>
  <si>
    <t>0-25% depletion</t>
  </si>
  <si>
    <t>0.6-0.7</t>
  </si>
  <si>
    <t>0.5-0.6</t>
  </si>
  <si>
    <t>0.3-0.5</t>
  </si>
  <si>
    <t>0.1-0.3</t>
  </si>
  <si>
    <t>Watershed</t>
  </si>
  <si>
    <t>Regional (monitoring stations in the state)</t>
  </si>
  <si>
    <t>Funding plans meet &lt;60% of funding needs</t>
  </si>
  <si>
    <t>Funding plans meet 60-79% of funding needs</t>
  </si>
  <si>
    <t>Funding plans meet 80-99% of funding needs</t>
  </si>
  <si>
    <t>Funding plans meet 100% of funding needs</t>
  </si>
  <si>
    <t>"D"</t>
  </si>
  <si>
    <t>"C"</t>
  </si>
  <si>
    <t>"B"</t>
  </si>
  <si>
    <t>"A"</t>
  </si>
  <si>
    <t>Regional (multiple counties)</t>
  </si>
  <si>
    <t>State</t>
  </si>
  <si>
    <t>WD Score</t>
  </si>
  <si>
    <t>Precip Score</t>
  </si>
  <si>
    <t>InfrFunding Score</t>
  </si>
  <si>
    <t>InfrCondtns Score</t>
  </si>
  <si>
    <t>Challenge</t>
  </si>
  <si>
    <t>Number of metrics</t>
  </si>
  <si>
    <t>Weight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</si>
</sst>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rgb="FFFF0000"/>
      <name val="Calibri"/>
      <family val="2"/>
      <scheme val="minor"/>
    </font>
    <font>
      <b/>
      <sz val="11"/>
      <color theme="1"/>
      <name val="Calibri"/>
      <family val="2"/>
      <scheme val="minor"/>
    </font>
    <font>
      <b/>
      <sz val="11"/>
      <color rgb="FFFF0000"/>
      <name val="Calibri"/>
      <family val="2"/>
      <scheme val="minor"/>
    </font>
    <font>
      <i/>
      <sz val="11"/>
      <color theme="1"/>
      <name val="Calibri"/>
      <family val="2"/>
      <scheme val="minor"/>
    </font>
    <font>
      <sz val="11"/>
      <color theme="1"/>
      <name val="Calibri"/>
      <family val="2"/>
      <scheme val="minor"/>
    </font>
    <font>
      <sz val="11"/>
      <name val="Calibri"/>
      <family val="2"/>
      <scheme val="minor"/>
    </font>
    <font>
      <b/>
      <sz val="11"/>
      <color theme="0"/>
      <name val="Calibri"/>
      <family val="2"/>
      <scheme val="minor"/>
    </font>
    <font>
      <u/>
      <sz val="11"/>
      <color theme="10"/>
      <name val="Calibri"/>
      <family val="2"/>
      <scheme val="minor"/>
    </font>
    <font>
      <u/>
      <sz val="11"/>
      <color theme="11"/>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6"/>
        <bgColor theme="6"/>
      </patternFill>
    </fill>
    <fill>
      <patternFill patternType="solid">
        <fgColor theme="4" tint="0.79998168889431442"/>
        <bgColor indexed="64"/>
      </patternFill>
    </fill>
    <fill>
      <patternFill patternType="solid">
        <fgColor theme="2"/>
        <bgColor indexed="64"/>
      </patternFill>
    </fill>
    <fill>
      <patternFill patternType="solid">
        <fgColor theme="9"/>
        <bgColor indexed="64"/>
      </patternFill>
    </fill>
    <fill>
      <patternFill patternType="solid">
        <fgColor theme="5" tint="0.59999389629810485"/>
        <bgColor indexed="64"/>
      </patternFill>
    </fill>
    <fill>
      <patternFill patternType="solid">
        <fgColor theme="7"/>
        <bgColor indexed="64"/>
      </patternFill>
    </fill>
    <fill>
      <patternFill patternType="solid">
        <fgColor theme="6"/>
        <bgColor indexed="64"/>
      </patternFill>
    </fill>
    <fill>
      <patternFill patternType="solid">
        <fgColor theme="8"/>
        <bgColor indexed="64"/>
      </patternFill>
    </fill>
    <fill>
      <patternFill patternType="solid">
        <fgColor theme="5"/>
        <bgColor indexed="64"/>
      </patternFill>
    </fill>
    <fill>
      <patternFill patternType="solid">
        <fgColor rgb="FFFF0000"/>
        <bgColor indexed="64"/>
      </patternFill>
    </fill>
    <fill>
      <patternFill patternType="solid">
        <fgColor rgb="FF8C3FC5"/>
        <bgColor indexed="64"/>
      </patternFill>
    </fill>
  </fills>
  <borders count="18">
    <border>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10">
    <xf numFmtId="0" fontId="0" fillId="0" borderId="0"/>
    <xf numFmtId="9" fontId="5"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175">
    <xf numFmtId="0" fontId="0" fillId="0" borderId="0" xfId="0"/>
    <xf numFmtId="0" fontId="0" fillId="0" borderId="0" xfId="0" applyAlignment="1">
      <alignment wrapText="1"/>
    </xf>
    <xf numFmtId="0" fontId="0" fillId="0" borderId="0" xfId="0" applyAlignment="1">
      <alignment horizontal="center"/>
    </xf>
    <xf numFmtId="0" fontId="2" fillId="0" borderId="0" xfId="0" applyFont="1"/>
    <xf numFmtId="0" fontId="2" fillId="0" borderId="0" xfId="0" applyFont="1" applyAlignment="1">
      <alignment wrapText="1"/>
    </xf>
    <xf numFmtId="0" fontId="0" fillId="0" borderId="2" xfId="0" applyBorder="1"/>
    <xf numFmtId="0" fontId="0" fillId="0" borderId="5" xfId="0" applyBorder="1"/>
    <xf numFmtId="0" fontId="0" fillId="0" borderId="7" xfId="0" applyBorder="1"/>
    <xf numFmtId="0" fontId="2" fillId="0" borderId="12" xfId="0" applyFont="1" applyBorder="1" applyAlignment="1">
      <alignment wrapText="1"/>
    </xf>
    <xf numFmtId="0" fontId="2" fillId="0" borderId="13" xfId="0" applyFont="1" applyBorder="1" applyAlignment="1">
      <alignment wrapText="1"/>
    </xf>
    <xf numFmtId="0" fontId="2" fillId="0" borderId="14" xfId="0" applyFont="1" applyBorder="1" applyAlignment="1">
      <alignment wrapText="1"/>
    </xf>
    <xf numFmtId="0" fontId="0" fillId="0" borderId="3" xfId="0" applyBorder="1" applyAlignment="1">
      <alignment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xf>
    <xf numFmtId="0" fontId="0" fillId="0" borderId="8" xfId="0" applyBorder="1" applyAlignment="1">
      <alignment horizontal="center" vertical="center"/>
    </xf>
    <xf numFmtId="0" fontId="0" fillId="0" borderId="0" xfId="0" applyBorder="1" applyAlignment="1">
      <alignment vertical="center" wrapText="1"/>
    </xf>
    <xf numFmtId="0" fontId="0" fillId="0" borderId="0" xfId="0" applyBorder="1" applyAlignment="1">
      <alignment horizontal="center" vertical="center"/>
    </xf>
    <xf numFmtId="0" fontId="0" fillId="0" borderId="6" xfId="0" applyBorder="1" applyAlignment="1">
      <alignment horizontal="center" vertical="center"/>
    </xf>
    <xf numFmtId="0" fontId="0" fillId="0" borderId="0" xfId="0" applyFont="1" applyBorder="1" applyAlignment="1">
      <alignment horizontal="center" vertical="center"/>
    </xf>
    <xf numFmtId="0" fontId="0" fillId="0" borderId="6" xfId="0" applyFont="1" applyBorder="1" applyAlignment="1">
      <alignment horizontal="center" vertical="center"/>
    </xf>
    <xf numFmtId="0" fontId="0" fillId="0" borderId="0" xfId="0" applyFont="1" applyBorder="1" applyAlignment="1">
      <alignment vertical="center" wrapText="1"/>
    </xf>
    <xf numFmtId="0" fontId="2" fillId="2" borderId="13" xfId="0" applyFont="1" applyFill="1" applyBorder="1" applyAlignment="1">
      <alignment wrapText="1"/>
    </xf>
    <xf numFmtId="0" fontId="0" fillId="2" borderId="3" xfId="0" applyFill="1" applyBorder="1" applyAlignment="1">
      <alignment horizontal="center" vertical="center"/>
    </xf>
    <xf numFmtId="0" fontId="0" fillId="2" borderId="1" xfId="0" applyFill="1" applyBorder="1" applyAlignment="1">
      <alignment horizontal="center" vertical="center"/>
    </xf>
    <xf numFmtId="0" fontId="0" fillId="2" borderId="0" xfId="0" applyFill="1" applyBorder="1" applyAlignment="1">
      <alignment horizontal="center" vertical="center"/>
    </xf>
    <xf numFmtId="0" fontId="0" fillId="2" borderId="0" xfId="0" applyFont="1" applyFill="1" applyBorder="1" applyAlignment="1">
      <alignment horizontal="center" vertical="center"/>
    </xf>
    <xf numFmtId="0" fontId="0" fillId="0" borderId="3" xfId="0" applyFont="1" applyBorder="1" applyAlignment="1">
      <alignment vertical="center" wrapText="1"/>
    </xf>
    <xf numFmtId="0" fontId="0" fillId="0" borderId="1" xfId="0" applyFont="1" applyBorder="1" applyAlignment="1">
      <alignment wrapText="1"/>
    </xf>
    <xf numFmtId="0" fontId="4" fillId="2" borderId="1" xfId="0" applyFont="1" applyFill="1" applyBorder="1" applyAlignment="1">
      <alignment horizontal="center" wrapText="1"/>
    </xf>
    <xf numFmtId="0" fontId="0" fillId="0" borderId="1" xfId="0" applyFont="1" applyBorder="1" applyAlignment="1">
      <alignment horizontal="center" wrapText="1"/>
    </xf>
    <xf numFmtId="0" fontId="0" fillId="0" borderId="8" xfId="0" applyFont="1" applyBorder="1" applyAlignment="1">
      <alignment horizontal="center" wrapText="1"/>
    </xf>
    <xf numFmtId="0" fontId="0" fillId="0" borderId="0" xfId="0" applyBorder="1" applyAlignment="1">
      <alignment horizontal="center" vertical="center" wrapText="1"/>
    </xf>
    <xf numFmtId="10" fontId="0" fillId="0" borderId="0" xfId="0" applyNumberFormat="1"/>
    <xf numFmtId="1" fontId="0" fillId="0" borderId="0" xfId="1" applyNumberFormat="1" applyFont="1" applyAlignment="1"/>
    <xf numFmtId="1" fontId="0" fillId="0" borderId="0" xfId="0" applyNumberFormat="1"/>
    <xf numFmtId="0" fontId="2" fillId="0" borderId="12" xfId="0" applyFont="1" applyBorder="1"/>
    <xf numFmtId="0" fontId="2" fillId="0" borderId="15" xfId="0" applyFont="1" applyBorder="1"/>
    <xf numFmtId="0" fontId="7" fillId="3" borderId="16" xfId="0" applyFont="1" applyFill="1" applyBorder="1" applyAlignment="1">
      <alignment wrapText="1"/>
    </xf>
    <xf numFmtId="0" fontId="7" fillId="3" borderId="17" xfId="0" applyFont="1" applyFill="1" applyBorder="1" applyAlignment="1">
      <alignment wrapText="1"/>
    </xf>
    <xf numFmtId="0" fontId="0" fillId="0" borderId="0" xfId="0" quotePrefix="1"/>
    <xf numFmtId="0" fontId="0" fillId="0" borderId="0" xfId="0" applyAlignment="1">
      <alignment vertical="center"/>
    </xf>
    <xf numFmtId="0" fontId="0" fillId="6" borderId="5" xfId="0" applyFill="1" applyBorder="1"/>
    <xf numFmtId="9" fontId="0" fillId="0" borderId="0" xfId="1" applyFont="1"/>
    <xf numFmtId="0" fontId="0" fillId="7" borderId="2" xfId="0" applyFill="1" applyBorder="1"/>
    <xf numFmtId="0" fontId="0" fillId="7" borderId="5" xfId="0" applyFill="1" applyBorder="1"/>
    <xf numFmtId="0" fontId="0" fillId="7" borderId="7" xfId="0" applyFill="1" applyBorder="1"/>
    <xf numFmtId="0" fontId="2" fillId="11" borderId="0" xfId="0" applyFont="1" applyFill="1" applyAlignment="1">
      <alignment wrapText="1"/>
    </xf>
    <xf numFmtId="0" fontId="2" fillId="9" borderId="0" xfId="0" applyFont="1" applyFill="1" applyAlignment="1">
      <alignment wrapText="1"/>
    </xf>
    <xf numFmtId="0" fontId="2" fillId="8" borderId="0" xfId="0" applyFont="1" applyFill="1" applyAlignment="1">
      <alignment wrapText="1"/>
    </xf>
    <xf numFmtId="0" fontId="2" fillId="10" borderId="0" xfId="0" applyFont="1" applyFill="1" applyAlignment="1">
      <alignment wrapText="1"/>
    </xf>
    <xf numFmtId="0" fontId="2" fillId="6" borderId="0" xfId="0" applyFont="1" applyFill="1" applyAlignment="1">
      <alignment wrapText="1"/>
    </xf>
    <xf numFmtId="0" fontId="2" fillId="13" borderId="0" xfId="0" applyFont="1" applyFill="1" applyAlignment="1">
      <alignment wrapText="1"/>
    </xf>
    <xf numFmtId="0" fontId="2" fillId="12" borderId="0" xfId="0" applyFont="1" applyFill="1" applyAlignment="1">
      <alignment wrapText="1"/>
    </xf>
    <xf numFmtId="0" fontId="0" fillId="9" borderId="2" xfId="0" applyFill="1" applyBorder="1"/>
    <xf numFmtId="0" fontId="0" fillId="9" borderId="11" xfId="0" applyFill="1" applyBorder="1"/>
    <xf numFmtId="0" fontId="0" fillId="9" borderId="0" xfId="0" applyFill="1" applyBorder="1" applyAlignment="1">
      <alignment wrapText="1"/>
    </xf>
    <xf numFmtId="0" fontId="0" fillId="9" borderId="0" xfId="0" applyFill="1" applyBorder="1"/>
    <xf numFmtId="0" fontId="0" fillId="9" borderId="5" xfId="0" applyFill="1" applyBorder="1"/>
    <xf numFmtId="0" fontId="0" fillId="9" borderId="9" xfId="0" applyFill="1" applyBorder="1"/>
    <xf numFmtId="0" fontId="0" fillId="9" borderId="3" xfId="0" applyFill="1" applyBorder="1" applyAlignment="1">
      <alignment wrapText="1"/>
    </xf>
    <xf numFmtId="0" fontId="0" fillId="9" borderId="3" xfId="0" applyFill="1" applyBorder="1"/>
    <xf numFmtId="0" fontId="0" fillId="9" borderId="7" xfId="0" applyFill="1" applyBorder="1"/>
    <xf numFmtId="0" fontId="0" fillId="9" borderId="10" xfId="0" applyFill="1" applyBorder="1"/>
    <xf numFmtId="0" fontId="0" fillId="9" borderId="1" xfId="0" applyFill="1" applyBorder="1" applyAlignment="1">
      <alignment wrapText="1"/>
    </xf>
    <xf numFmtId="0" fontId="0" fillId="9" borderId="1" xfId="0" applyFill="1" applyBorder="1"/>
    <xf numFmtId="0" fontId="0" fillId="8" borderId="2" xfId="0" applyFill="1" applyBorder="1"/>
    <xf numFmtId="0" fontId="0" fillId="8" borderId="9" xfId="0" applyFill="1" applyBorder="1"/>
    <xf numFmtId="0" fontId="0" fillId="8" borderId="3" xfId="0" applyFill="1" applyBorder="1" applyAlignment="1">
      <alignment wrapText="1"/>
    </xf>
    <xf numFmtId="0" fontId="0" fillId="8" borderId="3" xfId="0" applyFill="1" applyBorder="1"/>
    <xf numFmtId="0" fontId="0" fillId="8" borderId="7" xfId="0" applyFill="1" applyBorder="1"/>
    <xf numFmtId="0" fontId="0" fillId="8" borderId="10" xfId="0" applyFill="1" applyBorder="1"/>
    <xf numFmtId="0" fontId="0" fillId="8" borderId="1" xfId="0" applyFill="1" applyBorder="1" applyAlignment="1">
      <alignment wrapText="1"/>
    </xf>
    <xf numFmtId="0" fontId="0" fillId="8" borderId="1" xfId="0" applyFill="1" applyBorder="1"/>
    <xf numFmtId="0" fontId="0" fillId="8" borderId="5" xfId="0" applyFill="1" applyBorder="1"/>
    <xf numFmtId="0" fontId="0" fillId="8" borderId="11" xfId="0" applyFill="1" applyBorder="1"/>
    <xf numFmtId="0" fontId="0" fillId="8" borderId="0" xfId="0" applyFill="1" applyBorder="1" applyAlignment="1">
      <alignment wrapText="1"/>
    </xf>
    <xf numFmtId="0" fontId="0" fillId="8" borderId="0" xfId="0" applyFill="1" applyBorder="1"/>
    <xf numFmtId="0" fontId="6" fillId="8" borderId="3" xfId="0" applyFont="1" applyFill="1" applyBorder="1" applyAlignment="1">
      <alignment wrapText="1"/>
    </xf>
    <xf numFmtId="0" fontId="0" fillId="6" borderId="11" xfId="0" applyFill="1" applyBorder="1"/>
    <xf numFmtId="0" fontId="0" fillId="6" borderId="0" xfId="0" applyFill="1" applyBorder="1" applyAlignment="1">
      <alignment wrapText="1"/>
    </xf>
    <xf numFmtId="0" fontId="0" fillId="6" borderId="0" xfId="0" applyFill="1" applyBorder="1"/>
    <xf numFmtId="0" fontId="0" fillId="6" borderId="7" xfId="0" applyFill="1" applyBorder="1"/>
    <xf numFmtId="0" fontId="0" fillId="6" borderId="10" xfId="0" applyFill="1" applyBorder="1"/>
    <xf numFmtId="0" fontId="0" fillId="6" borderId="1" xfId="0" applyFill="1" applyBorder="1" applyAlignment="1">
      <alignment wrapText="1"/>
    </xf>
    <xf numFmtId="0" fontId="0" fillId="6" borderId="1" xfId="0" applyFill="1" applyBorder="1"/>
    <xf numFmtId="0" fontId="0" fillId="11" borderId="2" xfId="0" applyFill="1" applyBorder="1"/>
    <xf numFmtId="0" fontId="0" fillId="11" borderId="9" xfId="0" applyFill="1" applyBorder="1"/>
    <xf numFmtId="0" fontId="0" fillId="11" borderId="3" xfId="0" applyFill="1" applyBorder="1" applyAlignment="1">
      <alignment wrapText="1"/>
    </xf>
    <xf numFmtId="0" fontId="0" fillId="11" borderId="3" xfId="0" applyFill="1" applyBorder="1"/>
    <xf numFmtId="0" fontId="0" fillId="11" borderId="7" xfId="0" applyFill="1" applyBorder="1"/>
    <xf numFmtId="0" fontId="0" fillId="11" borderId="10" xfId="0" applyFill="1" applyBorder="1"/>
    <xf numFmtId="0" fontId="0" fillId="11" borderId="1" xfId="0" applyFill="1" applyBorder="1" applyAlignment="1">
      <alignment wrapText="1"/>
    </xf>
    <xf numFmtId="0" fontId="0" fillId="11" borderId="1" xfId="0" applyFill="1" applyBorder="1"/>
    <xf numFmtId="0" fontId="2" fillId="10" borderId="5" xfId="0" applyFont="1" applyFill="1" applyBorder="1"/>
    <xf numFmtId="0" fontId="2" fillId="10" borderId="11" xfId="0" applyFont="1" applyFill="1" applyBorder="1"/>
    <xf numFmtId="0" fontId="2" fillId="10" borderId="0" xfId="0" applyFont="1" applyFill="1" applyBorder="1" applyAlignment="1">
      <alignment wrapText="1"/>
    </xf>
    <xf numFmtId="0" fontId="0" fillId="10" borderId="5" xfId="0" applyFill="1" applyBorder="1"/>
    <xf numFmtId="0" fontId="0" fillId="10" borderId="11" xfId="0" applyFill="1" applyBorder="1"/>
    <xf numFmtId="0" fontId="0" fillId="10" borderId="0" xfId="0" applyFill="1" applyBorder="1" applyAlignment="1">
      <alignment wrapText="1"/>
    </xf>
    <xf numFmtId="0" fontId="0" fillId="10" borderId="0" xfId="0" applyFill="1" applyBorder="1"/>
    <xf numFmtId="0" fontId="0" fillId="10" borderId="7" xfId="0" applyFill="1" applyBorder="1"/>
    <xf numFmtId="0" fontId="0" fillId="10" borderId="10" xfId="0" applyFill="1" applyBorder="1"/>
    <xf numFmtId="0" fontId="0" fillId="10" borderId="1" xfId="0" applyFill="1" applyBorder="1" applyAlignment="1">
      <alignment wrapText="1"/>
    </xf>
    <xf numFmtId="0" fontId="0" fillId="10" borderId="1" xfId="0" applyFill="1" applyBorder="1"/>
    <xf numFmtId="0" fontId="0" fillId="13" borderId="0" xfId="0" applyFill="1" applyBorder="1"/>
    <xf numFmtId="0" fontId="0" fillId="13" borderId="0" xfId="0" applyFill="1" applyBorder="1" applyAlignment="1">
      <alignment wrapText="1"/>
    </xf>
    <xf numFmtId="0" fontId="0" fillId="13" borderId="6" xfId="0" applyFill="1" applyBorder="1"/>
    <xf numFmtId="0" fontId="0" fillId="13" borderId="1" xfId="0" applyFill="1" applyBorder="1"/>
    <xf numFmtId="0" fontId="0" fillId="13" borderId="1" xfId="0" applyFill="1" applyBorder="1" applyAlignment="1">
      <alignment wrapText="1"/>
    </xf>
    <xf numFmtId="0" fontId="0" fillId="13" borderId="8" xfId="0" applyFill="1" applyBorder="1"/>
    <xf numFmtId="0" fontId="0" fillId="13" borderId="9" xfId="0" applyFill="1" applyBorder="1"/>
    <xf numFmtId="0" fontId="0" fillId="13" borderId="11" xfId="0" applyFill="1" applyBorder="1"/>
    <xf numFmtId="0" fontId="0" fillId="13" borderId="10" xfId="0" applyFill="1" applyBorder="1"/>
    <xf numFmtId="0" fontId="0" fillId="13" borderId="4" xfId="0" applyFill="1" applyBorder="1"/>
    <xf numFmtId="0" fontId="0" fillId="13" borderId="9" xfId="0" applyFill="1" applyBorder="1" applyAlignment="1">
      <alignment wrapText="1"/>
    </xf>
    <xf numFmtId="0" fontId="0" fillId="13" borderId="11" xfId="0" applyFill="1" applyBorder="1" applyAlignment="1">
      <alignment wrapText="1"/>
    </xf>
    <xf numFmtId="0" fontId="0" fillId="13" borderId="10" xfId="0" applyFill="1" applyBorder="1" applyAlignment="1">
      <alignment wrapText="1"/>
    </xf>
    <xf numFmtId="0" fontId="0" fillId="10" borderId="11" xfId="0" applyFill="1" applyBorder="1" applyAlignment="1">
      <alignment horizontal="center"/>
    </xf>
    <xf numFmtId="0" fontId="0" fillId="10" borderId="10" xfId="0" applyFill="1" applyBorder="1" applyAlignment="1">
      <alignment horizontal="center"/>
    </xf>
    <xf numFmtId="0" fontId="0" fillId="11" borderId="9" xfId="0" applyFill="1" applyBorder="1" applyAlignment="1">
      <alignment horizontal="center"/>
    </xf>
    <xf numFmtId="0" fontId="0" fillId="11" borderId="10" xfId="0" applyFill="1" applyBorder="1" applyAlignment="1">
      <alignment horizontal="center"/>
    </xf>
    <xf numFmtId="0" fontId="0" fillId="6" borderId="11" xfId="0" applyFill="1" applyBorder="1" applyAlignment="1">
      <alignment horizontal="center"/>
    </xf>
    <xf numFmtId="0" fontId="0" fillId="6" borderId="10" xfId="0" applyFill="1" applyBorder="1" applyAlignment="1">
      <alignment horizontal="center"/>
    </xf>
    <xf numFmtId="0" fontId="0" fillId="8" borderId="9" xfId="0" applyFill="1" applyBorder="1" applyAlignment="1">
      <alignment horizontal="center"/>
    </xf>
    <xf numFmtId="0" fontId="0" fillId="8" borderId="10" xfId="0" applyFill="1" applyBorder="1" applyAlignment="1">
      <alignment horizontal="center"/>
    </xf>
    <xf numFmtId="0" fontId="0" fillId="8" borderId="11" xfId="0" applyFill="1" applyBorder="1" applyAlignment="1">
      <alignment horizontal="center"/>
    </xf>
    <xf numFmtId="0" fontId="0" fillId="9" borderId="11" xfId="0" applyFill="1" applyBorder="1" applyAlignment="1">
      <alignment horizontal="center"/>
    </xf>
    <xf numFmtId="0" fontId="0" fillId="9" borderId="9" xfId="0" applyFill="1" applyBorder="1" applyAlignment="1">
      <alignment horizontal="center"/>
    </xf>
    <xf numFmtId="0" fontId="0" fillId="9" borderId="10" xfId="0" applyFill="1" applyBorder="1" applyAlignment="1">
      <alignment horizontal="center"/>
    </xf>
    <xf numFmtId="0" fontId="0" fillId="13" borderId="9" xfId="0" applyFill="1" applyBorder="1" applyAlignment="1">
      <alignment horizontal="center"/>
    </xf>
    <xf numFmtId="0" fontId="0" fillId="13" borderId="11" xfId="0" applyFill="1" applyBorder="1" applyAlignment="1">
      <alignment horizontal="center"/>
    </xf>
    <xf numFmtId="0" fontId="0" fillId="13" borderId="10" xfId="0" applyFill="1" applyBorder="1" applyAlignment="1">
      <alignment horizontal="center"/>
    </xf>
    <xf numFmtId="0" fontId="2" fillId="10" borderId="10" xfId="0" applyFont="1" applyFill="1" applyBorder="1"/>
    <xf numFmtId="0" fontId="2" fillId="10" borderId="1" xfId="0" applyFont="1" applyFill="1" applyBorder="1" applyAlignment="1">
      <alignment wrapText="1"/>
    </xf>
    <xf numFmtId="0" fontId="2" fillId="10" borderId="7" xfId="0" applyFont="1" applyFill="1" applyBorder="1"/>
    <xf numFmtId="0" fontId="0" fillId="10" borderId="5" xfId="0" applyFont="1" applyFill="1" applyBorder="1"/>
    <xf numFmtId="0" fontId="0" fillId="10" borderId="9" xfId="0" applyFont="1" applyFill="1" applyBorder="1"/>
    <xf numFmtId="0" fontId="0" fillId="10" borderId="3" xfId="0" applyFont="1" applyFill="1" applyBorder="1" applyAlignment="1">
      <alignment wrapText="1"/>
    </xf>
    <xf numFmtId="0" fontId="0" fillId="8" borderId="9" xfId="0" applyFont="1" applyFill="1" applyBorder="1" applyAlignment="1">
      <alignment wrapText="1"/>
    </xf>
    <xf numFmtId="0" fontId="0" fillId="8" borderId="11" xfId="0" applyFont="1" applyFill="1" applyBorder="1"/>
    <xf numFmtId="0" fontId="0" fillId="8" borderId="10" xfId="0" applyFont="1" applyFill="1" applyBorder="1"/>
    <xf numFmtId="0" fontId="0" fillId="10" borderId="3" xfId="0" applyFont="1" applyFill="1" applyBorder="1" applyAlignment="1">
      <alignment horizontal="left"/>
    </xf>
    <xf numFmtId="0" fontId="0" fillId="10" borderId="0" xfId="0" applyFont="1" applyFill="1" applyBorder="1" applyAlignment="1">
      <alignment horizontal="left"/>
    </xf>
    <xf numFmtId="0" fontId="0" fillId="10" borderId="1" xfId="0" applyFont="1" applyFill="1" applyBorder="1" applyAlignment="1">
      <alignment horizontal="left"/>
    </xf>
    <xf numFmtId="0" fontId="0" fillId="10" borderId="2" xfId="0" applyFont="1" applyFill="1" applyBorder="1"/>
    <xf numFmtId="0" fontId="0" fillId="9" borderId="5" xfId="0" applyFill="1" applyBorder="1" applyAlignment="1">
      <alignment wrapText="1"/>
    </xf>
    <xf numFmtId="0" fontId="0" fillId="13" borderId="0" xfId="0" applyFont="1" applyFill="1" applyAlignment="1">
      <alignment wrapText="1"/>
    </xf>
    <xf numFmtId="0" fontId="0" fillId="13" borderId="9" xfId="0" applyFont="1" applyFill="1" applyBorder="1" applyAlignment="1">
      <alignment wrapText="1"/>
    </xf>
    <xf numFmtId="0" fontId="0" fillId="10" borderId="12" xfId="0" applyFill="1" applyBorder="1" applyAlignment="1">
      <alignment wrapText="1"/>
    </xf>
    <xf numFmtId="0" fontId="0" fillId="11" borderId="12" xfId="0" applyFill="1" applyBorder="1" applyAlignment="1">
      <alignment wrapText="1"/>
    </xf>
    <xf numFmtId="0" fontId="0" fillId="6" borderId="12" xfId="0" applyFill="1" applyBorder="1" applyAlignment="1">
      <alignment wrapText="1"/>
    </xf>
    <xf numFmtId="0" fontId="0" fillId="8" borderId="12" xfId="0" applyFill="1" applyBorder="1" applyAlignment="1">
      <alignment wrapText="1"/>
    </xf>
    <xf numFmtId="0" fontId="0" fillId="9" borderId="12" xfId="0" applyFill="1" applyBorder="1" applyAlignment="1">
      <alignment wrapText="1"/>
    </xf>
    <xf numFmtId="0" fontId="0" fillId="13" borderId="15" xfId="0" applyFill="1" applyBorder="1"/>
    <xf numFmtId="0" fontId="0" fillId="10" borderId="2" xfId="0" applyFill="1" applyBorder="1"/>
    <xf numFmtId="0" fontId="0" fillId="6" borderId="2" xfId="0" applyFill="1" applyBorder="1"/>
    <xf numFmtId="0" fontId="0" fillId="13" borderId="2" xfId="0" applyFill="1" applyBorder="1"/>
    <xf numFmtId="0" fontId="0" fillId="13" borderId="15" xfId="0" applyFill="1" applyBorder="1" applyAlignment="1">
      <alignment wrapText="1"/>
    </xf>
    <xf numFmtId="0" fontId="0" fillId="13" borderId="14" xfId="0" applyFill="1" applyBorder="1" applyAlignment="1">
      <alignment wrapText="1"/>
    </xf>
    <xf numFmtId="9" fontId="0" fillId="0" borderId="0" xfId="0" applyNumberFormat="1"/>
    <xf numFmtId="0" fontId="2" fillId="0" borderId="13" xfId="0" applyFont="1" applyBorder="1" applyAlignment="1">
      <alignment horizontal="center"/>
    </xf>
    <xf numFmtId="0" fontId="0" fillId="6" borderId="2" xfId="0" applyFill="1" applyBorder="1" applyAlignment="1">
      <alignment horizontal="center" vertical="center"/>
    </xf>
    <xf numFmtId="0" fontId="0" fillId="6" borderId="3" xfId="0" applyFill="1" applyBorder="1" applyAlignment="1">
      <alignment horizontal="center" vertical="center"/>
    </xf>
    <xf numFmtId="0" fontId="0" fillId="6" borderId="4" xfId="0" applyFill="1" applyBorder="1" applyAlignment="1">
      <alignment horizontal="center" vertical="center"/>
    </xf>
    <xf numFmtId="0" fontId="0" fillId="6" borderId="7" xfId="0" applyFill="1" applyBorder="1" applyAlignment="1">
      <alignment horizontal="center" vertical="center"/>
    </xf>
    <xf numFmtId="0" fontId="0" fillId="6" borderId="1" xfId="0" applyFill="1" applyBorder="1" applyAlignment="1">
      <alignment horizontal="center" vertical="center"/>
    </xf>
    <xf numFmtId="0" fontId="0" fillId="6" borderId="8" xfId="0" applyFill="1" applyBorder="1" applyAlignment="1">
      <alignment horizontal="center" vertical="center"/>
    </xf>
    <xf numFmtId="0" fontId="2" fillId="4" borderId="12" xfId="0" applyFont="1" applyFill="1" applyBorder="1" applyAlignment="1">
      <alignment horizontal="center"/>
    </xf>
    <xf numFmtId="0" fontId="2" fillId="4" borderId="13" xfId="0" applyFont="1" applyFill="1" applyBorder="1" applyAlignment="1">
      <alignment horizontal="center"/>
    </xf>
    <xf numFmtId="0" fontId="2" fillId="4" borderId="14" xfId="0" applyFont="1" applyFill="1" applyBorder="1" applyAlignment="1">
      <alignment horizontal="center"/>
    </xf>
    <xf numFmtId="0" fontId="2" fillId="5" borderId="7" xfId="0" applyFont="1" applyFill="1" applyBorder="1" applyAlignment="1">
      <alignment horizontal="center"/>
    </xf>
    <xf numFmtId="0" fontId="2" fillId="5" borderId="1" xfId="0" applyFont="1" applyFill="1" applyBorder="1" applyAlignment="1">
      <alignment horizontal="center"/>
    </xf>
    <xf numFmtId="0" fontId="2" fillId="5" borderId="8" xfId="0" applyFont="1" applyFill="1" applyBorder="1" applyAlignment="1">
      <alignment horizontal="center"/>
    </xf>
  </cellXfs>
  <cellStyles count="10">
    <cellStyle name="Followed Hyperlink" xfId="3" builtinId="9" hidden="1"/>
    <cellStyle name="Followed Hyperlink" xfId="5" builtinId="9" hidden="1"/>
    <cellStyle name="Followed Hyperlink" xfId="7" builtinId="9" hidden="1"/>
    <cellStyle name="Followed Hyperlink" xfId="9" builtinId="9" hidden="1"/>
    <cellStyle name="Hyperlink" xfId="2" builtinId="8" hidden="1"/>
    <cellStyle name="Hyperlink" xfId="4" builtinId="8" hidden="1"/>
    <cellStyle name="Hyperlink" xfId="6" builtinId="8" hidden="1"/>
    <cellStyle name="Hyperlink" xfId="8" builtinId="8" hidden="1"/>
    <cellStyle name="Normal" xfId="0" builtinId="0"/>
    <cellStyle name="Percent" xfId="1" builtinId="5"/>
  </cellStyles>
  <dxfs count="3">
    <dxf>
      <numFmt numFmtId="14" formatCode="0.00%"/>
    </dxf>
    <dxf>
      <numFmt numFmtId="14" formatCode="0.0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dxf>
  </dxfs>
  <tableStyles count="0" defaultTableStyle="TableStyleMedium2" defaultPivotStyle="PivotStyleLight16"/>
  <colors>
    <mruColors>
      <color rgb="FF8C3F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Subwatershed</a:t>
            </a:r>
            <a:r>
              <a:rPr lang="en-US" baseline="0"/>
              <a:t> Analysis for Sites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Charts!$F$2</c:f>
              <c:strCache>
                <c:ptCount val="1"/>
                <c:pt idx="0">
                  <c:v>Water quantity</c:v>
                </c:pt>
              </c:strCache>
            </c:strRef>
          </c:tx>
          <c:spPr>
            <a:solidFill>
              <a:schemeClr val="accent1"/>
            </a:solidFill>
            <a:ln>
              <a:noFill/>
            </a:ln>
            <a:effectLst/>
          </c:spPr>
          <c:invertIfNegative val="0"/>
          <c:cat>
            <c:numRef>
              <c:f>Charts!$E$3:$E$36</c:f>
              <c:numCache>
                <c:formatCode>General</c:formatCod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numCache>
            </c:numRef>
          </c:cat>
          <c:val>
            <c:numRef>
              <c:f>Charts!$F$3:$F$36</c:f>
              <c:numCache>
                <c:formatCode>General</c:formatCode>
                <c:ptCount val="34"/>
                <c:pt idx="0">
                  <c:v>3.5</c:v>
                </c:pt>
                <c:pt idx="1">
                  <c:v>3.5</c:v>
                </c:pt>
                <c:pt idx="2">
                  <c:v>3.5</c:v>
                </c:pt>
                <c:pt idx="3">
                  <c:v>3.5</c:v>
                </c:pt>
                <c:pt idx="4">
                  <c:v>3.5</c:v>
                </c:pt>
                <c:pt idx="5">
                  <c:v>3.5</c:v>
                </c:pt>
                <c:pt idx="6">
                  <c:v>3.5</c:v>
                </c:pt>
                <c:pt idx="7">
                  <c:v>2.5</c:v>
                </c:pt>
                <c:pt idx="8">
                  <c:v>3.5</c:v>
                </c:pt>
                <c:pt idx="9">
                  <c:v>3.5</c:v>
                </c:pt>
                <c:pt idx="10">
                  <c:v>3.5</c:v>
                </c:pt>
                <c:pt idx="11">
                  <c:v>3.5</c:v>
                </c:pt>
                <c:pt idx="12">
                  <c:v>3.5</c:v>
                </c:pt>
                <c:pt idx="13">
                  <c:v>3.5</c:v>
                </c:pt>
                <c:pt idx="14">
                  <c:v>3.5</c:v>
                </c:pt>
                <c:pt idx="15">
                  <c:v>3.5</c:v>
                </c:pt>
                <c:pt idx="16">
                  <c:v>2.5</c:v>
                </c:pt>
                <c:pt idx="17">
                  <c:v>3.5</c:v>
                </c:pt>
                <c:pt idx="18">
                  <c:v>3.5</c:v>
                </c:pt>
                <c:pt idx="19">
                  <c:v>3.5</c:v>
                </c:pt>
                <c:pt idx="20">
                  <c:v>3.5</c:v>
                </c:pt>
                <c:pt idx="21">
                  <c:v>3.5</c:v>
                </c:pt>
                <c:pt idx="22">
                  <c:v>3.5</c:v>
                </c:pt>
                <c:pt idx="23">
                  <c:v>3.5</c:v>
                </c:pt>
                <c:pt idx="24">
                  <c:v>3.5</c:v>
                </c:pt>
                <c:pt idx="25">
                  <c:v>3.5</c:v>
                </c:pt>
                <c:pt idx="26">
                  <c:v>3.5</c:v>
                </c:pt>
                <c:pt idx="27">
                  <c:v>3.5</c:v>
                </c:pt>
                <c:pt idx="28">
                  <c:v>3.5</c:v>
                </c:pt>
                <c:pt idx="29">
                  <c:v>3.5</c:v>
                </c:pt>
                <c:pt idx="30">
                  <c:v>3.5</c:v>
                </c:pt>
                <c:pt idx="31">
                  <c:v>3.5</c:v>
                </c:pt>
                <c:pt idx="32">
                  <c:v>2</c:v>
                </c:pt>
                <c:pt idx="33">
                  <c:v>2</c:v>
                </c:pt>
              </c:numCache>
            </c:numRef>
          </c:val>
          <c:extLst>
            <c:ext xmlns:c16="http://schemas.microsoft.com/office/drawing/2014/chart" uri="{C3380CC4-5D6E-409C-BE32-E72D297353CC}">
              <c16:uniqueId val="{00000000-F809-449F-A008-EC72069CCD9B}"/>
            </c:ext>
          </c:extLst>
        </c:ser>
        <c:ser>
          <c:idx val="1"/>
          <c:order val="1"/>
          <c:tx>
            <c:strRef>
              <c:f>Charts!$G$2</c:f>
              <c:strCache>
                <c:ptCount val="1"/>
                <c:pt idx="0">
                  <c:v>Water quality</c:v>
                </c:pt>
              </c:strCache>
            </c:strRef>
          </c:tx>
          <c:spPr>
            <a:solidFill>
              <a:schemeClr val="accent2"/>
            </a:solidFill>
            <a:ln>
              <a:noFill/>
            </a:ln>
            <a:effectLst/>
          </c:spPr>
          <c:invertIfNegative val="0"/>
          <c:cat>
            <c:numRef>
              <c:f>Charts!$E$3:$E$36</c:f>
              <c:numCache>
                <c:formatCode>General</c:formatCod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numCache>
            </c:numRef>
          </c:cat>
          <c:val>
            <c:numRef>
              <c:f>Charts!$G$3:$G$36</c:f>
              <c:numCache>
                <c:formatCode>General</c:formatCode>
                <c:ptCount val="34"/>
                <c:pt idx="0">
                  <c:v>2</c:v>
                </c:pt>
                <c:pt idx="1">
                  <c:v>2</c:v>
                </c:pt>
                <c:pt idx="2">
                  <c:v>4</c:v>
                </c:pt>
                <c:pt idx="3">
                  <c:v>4</c:v>
                </c:pt>
                <c:pt idx="4">
                  <c:v>4</c:v>
                </c:pt>
                <c:pt idx="5">
                  <c:v>4</c:v>
                </c:pt>
                <c:pt idx="6">
                  <c:v>4</c:v>
                </c:pt>
                <c:pt idx="7">
                  <c:v>4</c:v>
                </c:pt>
                <c:pt idx="8">
                  <c:v>4</c:v>
                </c:pt>
                <c:pt idx="9">
                  <c:v>4</c:v>
                </c:pt>
                <c:pt idx="10">
                  <c:v>4</c:v>
                </c:pt>
                <c:pt idx="11">
                  <c:v>4</c:v>
                </c:pt>
                <c:pt idx="12">
                  <c:v>2</c:v>
                </c:pt>
                <c:pt idx="13">
                  <c:v>2</c:v>
                </c:pt>
                <c:pt idx="14">
                  <c:v>2</c:v>
                </c:pt>
                <c:pt idx="15">
                  <c:v>4</c:v>
                </c:pt>
                <c:pt idx="16">
                  <c:v>4</c:v>
                </c:pt>
                <c:pt idx="17">
                  <c:v>4</c:v>
                </c:pt>
                <c:pt idx="18">
                  <c:v>4</c:v>
                </c:pt>
                <c:pt idx="19">
                  <c:v>4</c:v>
                </c:pt>
                <c:pt idx="20">
                  <c:v>4</c:v>
                </c:pt>
                <c:pt idx="21">
                  <c:v>4</c:v>
                </c:pt>
                <c:pt idx="22">
                  <c:v>4</c:v>
                </c:pt>
                <c:pt idx="23">
                  <c:v>4</c:v>
                </c:pt>
                <c:pt idx="24">
                  <c:v>4</c:v>
                </c:pt>
                <c:pt idx="25">
                  <c:v>4</c:v>
                </c:pt>
                <c:pt idx="26">
                  <c:v>2</c:v>
                </c:pt>
                <c:pt idx="27">
                  <c:v>2</c:v>
                </c:pt>
                <c:pt idx="28">
                  <c:v>2</c:v>
                </c:pt>
                <c:pt idx="29">
                  <c:v>4</c:v>
                </c:pt>
                <c:pt idx="30">
                  <c:v>4</c:v>
                </c:pt>
                <c:pt idx="31">
                  <c:v>2</c:v>
                </c:pt>
                <c:pt idx="32">
                  <c:v>2</c:v>
                </c:pt>
                <c:pt idx="33">
                  <c:v>4</c:v>
                </c:pt>
              </c:numCache>
            </c:numRef>
          </c:val>
          <c:extLst>
            <c:ext xmlns:c16="http://schemas.microsoft.com/office/drawing/2014/chart" uri="{C3380CC4-5D6E-409C-BE32-E72D297353CC}">
              <c16:uniqueId val="{00000001-F809-449F-A008-EC72069CCD9B}"/>
            </c:ext>
          </c:extLst>
        </c:ser>
        <c:ser>
          <c:idx val="2"/>
          <c:order val="2"/>
          <c:tx>
            <c:strRef>
              <c:f>Charts!$H$2</c:f>
              <c:strCache>
                <c:ptCount val="1"/>
                <c:pt idx="0">
                  <c:v>Ecosystems</c:v>
                </c:pt>
              </c:strCache>
            </c:strRef>
          </c:tx>
          <c:spPr>
            <a:solidFill>
              <a:schemeClr val="accent6"/>
            </a:solidFill>
            <a:ln>
              <a:noFill/>
            </a:ln>
            <a:effectLst/>
          </c:spPr>
          <c:invertIfNegative val="0"/>
          <c:cat>
            <c:numRef>
              <c:f>Charts!$E$3:$E$36</c:f>
              <c:numCache>
                <c:formatCode>General</c:formatCod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numCache>
            </c:numRef>
          </c:cat>
          <c:val>
            <c:numRef>
              <c:f>Charts!$H$3:$H$36</c:f>
              <c:numCache>
                <c:formatCode>General</c:formatCode>
                <c:ptCount val="34"/>
                <c:pt idx="0">
                  <c:v>3</c:v>
                </c:pt>
                <c:pt idx="1">
                  <c:v>3</c:v>
                </c:pt>
                <c:pt idx="2">
                  <c:v>3</c:v>
                </c:pt>
                <c:pt idx="3">
                  <c:v>1</c:v>
                </c:pt>
                <c:pt idx="4">
                  <c:v>3</c:v>
                </c:pt>
                <c:pt idx="5">
                  <c:v>3</c:v>
                </c:pt>
                <c:pt idx="6">
                  <c:v>1</c:v>
                </c:pt>
                <c:pt idx="7">
                  <c:v>3</c:v>
                </c:pt>
                <c:pt idx="8">
                  <c:v>3</c:v>
                </c:pt>
                <c:pt idx="9">
                  <c:v>3</c:v>
                </c:pt>
                <c:pt idx="10">
                  <c:v>1</c:v>
                </c:pt>
                <c:pt idx="11">
                  <c:v>1</c:v>
                </c:pt>
                <c:pt idx="12">
                  <c:v>3</c:v>
                </c:pt>
                <c:pt idx="13">
                  <c:v>3</c:v>
                </c:pt>
                <c:pt idx="14">
                  <c:v>3</c:v>
                </c:pt>
                <c:pt idx="15">
                  <c:v>1</c:v>
                </c:pt>
                <c:pt idx="16">
                  <c:v>3</c:v>
                </c:pt>
                <c:pt idx="17">
                  <c:v>3</c:v>
                </c:pt>
                <c:pt idx="18">
                  <c:v>3</c:v>
                </c:pt>
                <c:pt idx="19">
                  <c:v>3</c:v>
                </c:pt>
                <c:pt idx="20">
                  <c:v>3</c:v>
                </c:pt>
                <c:pt idx="21">
                  <c:v>3</c:v>
                </c:pt>
                <c:pt idx="22">
                  <c:v>1</c:v>
                </c:pt>
                <c:pt idx="23">
                  <c:v>1</c:v>
                </c:pt>
                <c:pt idx="24">
                  <c:v>1</c:v>
                </c:pt>
                <c:pt idx="25">
                  <c:v>1</c:v>
                </c:pt>
                <c:pt idx="26">
                  <c:v>3</c:v>
                </c:pt>
                <c:pt idx="27">
                  <c:v>3</c:v>
                </c:pt>
                <c:pt idx="28">
                  <c:v>3</c:v>
                </c:pt>
                <c:pt idx="29">
                  <c:v>1</c:v>
                </c:pt>
                <c:pt idx="30">
                  <c:v>1</c:v>
                </c:pt>
                <c:pt idx="31">
                  <c:v>3</c:v>
                </c:pt>
                <c:pt idx="32">
                  <c:v>3</c:v>
                </c:pt>
                <c:pt idx="33">
                  <c:v>1</c:v>
                </c:pt>
              </c:numCache>
            </c:numRef>
          </c:val>
          <c:extLst>
            <c:ext xmlns:c16="http://schemas.microsoft.com/office/drawing/2014/chart" uri="{C3380CC4-5D6E-409C-BE32-E72D297353CC}">
              <c16:uniqueId val="{00000002-F809-449F-A008-EC72069CCD9B}"/>
            </c:ext>
          </c:extLst>
        </c:ser>
        <c:ser>
          <c:idx val="3"/>
          <c:order val="3"/>
          <c:tx>
            <c:strRef>
              <c:f>Charts!$I$2</c:f>
              <c:strCache>
                <c:ptCount val="1"/>
                <c:pt idx="0">
                  <c:v>WASH</c:v>
                </c:pt>
              </c:strCache>
            </c:strRef>
          </c:tx>
          <c:spPr>
            <a:solidFill>
              <a:schemeClr val="accent4"/>
            </a:solidFill>
            <a:ln>
              <a:noFill/>
            </a:ln>
            <a:effectLst/>
          </c:spPr>
          <c:invertIfNegative val="0"/>
          <c:cat>
            <c:numRef>
              <c:f>Charts!$E$3:$E$36</c:f>
              <c:numCache>
                <c:formatCode>General</c:formatCod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numCache>
            </c:numRef>
          </c:cat>
          <c:val>
            <c:numRef>
              <c:f>Charts!$I$3:$I$36</c:f>
              <c:numCache>
                <c:formatCode>General</c:formatCode>
                <c:ptCount val="34"/>
                <c:pt idx="0">
                  <c:v>1.25</c:v>
                </c:pt>
                <c:pt idx="1">
                  <c:v>1.25</c:v>
                </c:pt>
                <c:pt idx="2">
                  <c:v>1.25</c:v>
                </c:pt>
                <c:pt idx="3">
                  <c:v>1.75</c:v>
                </c:pt>
                <c:pt idx="4">
                  <c:v>1.25</c:v>
                </c:pt>
                <c:pt idx="5">
                  <c:v>1.25</c:v>
                </c:pt>
                <c:pt idx="6">
                  <c:v>1.75</c:v>
                </c:pt>
                <c:pt idx="7">
                  <c:v>1.25</c:v>
                </c:pt>
                <c:pt idx="8">
                  <c:v>1.25</c:v>
                </c:pt>
                <c:pt idx="9">
                  <c:v>1.75</c:v>
                </c:pt>
                <c:pt idx="10">
                  <c:v>1.75</c:v>
                </c:pt>
                <c:pt idx="11">
                  <c:v>1.75</c:v>
                </c:pt>
                <c:pt idx="12">
                  <c:v>1.25</c:v>
                </c:pt>
                <c:pt idx="13">
                  <c:v>1.25</c:v>
                </c:pt>
                <c:pt idx="14">
                  <c:v>1.75</c:v>
                </c:pt>
                <c:pt idx="15">
                  <c:v>1.25</c:v>
                </c:pt>
                <c:pt idx="16">
                  <c:v>1.25</c:v>
                </c:pt>
                <c:pt idx="17">
                  <c:v>1.25</c:v>
                </c:pt>
                <c:pt idx="18">
                  <c:v>1.25</c:v>
                </c:pt>
                <c:pt idx="19">
                  <c:v>1.25</c:v>
                </c:pt>
                <c:pt idx="20">
                  <c:v>1.25</c:v>
                </c:pt>
                <c:pt idx="21">
                  <c:v>1.25</c:v>
                </c:pt>
                <c:pt idx="22">
                  <c:v>1.75</c:v>
                </c:pt>
                <c:pt idx="23">
                  <c:v>1.25</c:v>
                </c:pt>
                <c:pt idx="24">
                  <c:v>1.25</c:v>
                </c:pt>
                <c:pt idx="25">
                  <c:v>1.25</c:v>
                </c:pt>
                <c:pt idx="26">
                  <c:v>1.75</c:v>
                </c:pt>
                <c:pt idx="27">
                  <c:v>1.25</c:v>
                </c:pt>
                <c:pt idx="28">
                  <c:v>1.25</c:v>
                </c:pt>
                <c:pt idx="29">
                  <c:v>1.75</c:v>
                </c:pt>
                <c:pt idx="30">
                  <c:v>1.75</c:v>
                </c:pt>
                <c:pt idx="31">
                  <c:v>1.25</c:v>
                </c:pt>
                <c:pt idx="32">
                  <c:v>1.25</c:v>
                </c:pt>
                <c:pt idx="33">
                  <c:v>1.25</c:v>
                </c:pt>
              </c:numCache>
            </c:numRef>
          </c:val>
          <c:extLst>
            <c:ext xmlns:c16="http://schemas.microsoft.com/office/drawing/2014/chart" uri="{C3380CC4-5D6E-409C-BE32-E72D297353CC}">
              <c16:uniqueId val="{00000003-F809-449F-A008-EC72069CCD9B}"/>
            </c:ext>
          </c:extLst>
        </c:ser>
        <c:ser>
          <c:idx val="4"/>
          <c:order val="4"/>
          <c:tx>
            <c:strRef>
              <c:f>Charts!$J$2</c:f>
              <c:strCache>
                <c:ptCount val="1"/>
                <c:pt idx="0">
                  <c:v>Extreme events</c:v>
                </c:pt>
              </c:strCache>
            </c:strRef>
          </c:tx>
          <c:spPr>
            <a:solidFill>
              <a:schemeClr val="accent3"/>
            </a:solidFill>
            <a:ln>
              <a:noFill/>
            </a:ln>
            <a:effectLst/>
          </c:spPr>
          <c:invertIfNegative val="0"/>
          <c:cat>
            <c:numRef>
              <c:f>Charts!$E$3:$E$36</c:f>
              <c:numCache>
                <c:formatCode>General</c:formatCod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numCache>
            </c:numRef>
          </c:cat>
          <c:val>
            <c:numRef>
              <c:f>Charts!$J$3:$J$36</c:f>
              <c:numCache>
                <c:formatCode>General</c:formatCode>
                <c:ptCount val="34"/>
                <c:pt idx="0">
                  <c:v>3.5</c:v>
                </c:pt>
                <c:pt idx="1">
                  <c:v>3.5</c:v>
                </c:pt>
                <c:pt idx="2">
                  <c:v>3.5</c:v>
                </c:pt>
                <c:pt idx="3">
                  <c:v>2.5</c:v>
                </c:pt>
                <c:pt idx="4">
                  <c:v>3.5</c:v>
                </c:pt>
                <c:pt idx="5">
                  <c:v>2.5</c:v>
                </c:pt>
                <c:pt idx="6">
                  <c:v>3.5</c:v>
                </c:pt>
                <c:pt idx="7">
                  <c:v>2.5</c:v>
                </c:pt>
                <c:pt idx="8">
                  <c:v>3.5</c:v>
                </c:pt>
                <c:pt idx="9">
                  <c:v>3.5</c:v>
                </c:pt>
                <c:pt idx="10">
                  <c:v>2.5</c:v>
                </c:pt>
                <c:pt idx="11">
                  <c:v>3.5</c:v>
                </c:pt>
                <c:pt idx="12">
                  <c:v>2.5</c:v>
                </c:pt>
                <c:pt idx="13">
                  <c:v>2.5</c:v>
                </c:pt>
                <c:pt idx="14">
                  <c:v>3.5</c:v>
                </c:pt>
                <c:pt idx="15">
                  <c:v>2.5</c:v>
                </c:pt>
                <c:pt idx="16">
                  <c:v>3.5</c:v>
                </c:pt>
                <c:pt idx="17">
                  <c:v>2.5</c:v>
                </c:pt>
                <c:pt idx="18">
                  <c:v>3.5</c:v>
                </c:pt>
                <c:pt idx="19">
                  <c:v>2.5</c:v>
                </c:pt>
                <c:pt idx="20">
                  <c:v>2.5</c:v>
                </c:pt>
                <c:pt idx="21">
                  <c:v>2.5</c:v>
                </c:pt>
                <c:pt idx="22">
                  <c:v>2.5</c:v>
                </c:pt>
                <c:pt idx="23">
                  <c:v>3.5</c:v>
                </c:pt>
                <c:pt idx="24">
                  <c:v>3.5</c:v>
                </c:pt>
                <c:pt idx="25">
                  <c:v>3.5</c:v>
                </c:pt>
                <c:pt idx="26">
                  <c:v>3.5</c:v>
                </c:pt>
                <c:pt idx="27">
                  <c:v>2.5</c:v>
                </c:pt>
                <c:pt idx="28">
                  <c:v>2.5</c:v>
                </c:pt>
                <c:pt idx="29">
                  <c:v>2.5</c:v>
                </c:pt>
                <c:pt idx="30">
                  <c:v>2.5</c:v>
                </c:pt>
                <c:pt idx="31">
                  <c:v>2.5</c:v>
                </c:pt>
                <c:pt idx="32">
                  <c:v>2.5</c:v>
                </c:pt>
                <c:pt idx="33">
                  <c:v>2.5</c:v>
                </c:pt>
              </c:numCache>
            </c:numRef>
          </c:val>
          <c:extLst>
            <c:ext xmlns:c16="http://schemas.microsoft.com/office/drawing/2014/chart" uri="{C3380CC4-5D6E-409C-BE32-E72D297353CC}">
              <c16:uniqueId val="{00000004-F809-449F-A008-EC72069CCD9B}"/>
            </c:ext>
          </c:extLst>
        </c:ser>
        <c:ser>
          <c:idx val="5"/>
          <c:order val="5"/>
          <c:tx>
            <c:strRef>
              <c:f>Charts!$K$2</c:f>
              <c:strCache>
                <c:ptCount val="1"/>
                <c:pt idx="0">
                  <c:v>Governance</c:v>
                </c:pt>
              </c:strCache>
            </c:strRef>
          </c:tx>
          <c:spPr>
            <a:solidFill>
              <a:srgbClr val="8C3FC5"/>
            </a:solidFill>
            <a:ln>
              <a:noFill/>
            </a:ln>
            <a:effectLst/>
          </c:spPr>
          <c:invertIfNegative val="0"/>
          <c:cat>
            <c:numRef>
              <c:f>Charts!$E$3:$E$36</c:f>
              <c:numCache>
                <c:formatCode>General</c:formatCod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numCache>
            </c:numRef>
          </c:cat>
          <c:val>
            <c:numRef>
              <c:f>Charts!$K$3:$K$36</c:f>
              <c:numCache>
                <c:formatCode>General</c:formatCode>
                <c:ptCount val="34"/>
                <c:pt idx="0">
                  <c:v>2.5</c:v>
                </c:pt>
                <c:pt idx="1">
                  <c:v>2.5</c:v>
                </c:pt>
                <c:pt idx="2">
                  <c:v>2.5</c:v>
                </c:pt>
                <c:pt idx="3">
                  <c:v>2.5</c:v>
                </c:pt>
                <c:pt idx="4">
                  <c:v>2.5</c:v>
                </c:pt>
                <c:pt idx="5">
                  <c:v>2.5</c:v>
                </c:pt>
                <c:pt idx="6">
                  <c:v>2.5</c:v>
                </c:pt>
                <c:pt idx="7">
                  <c:v>2.5</c:v>
                </c:pt>
                <c:pt idx="8">
                  <c:v>2.5</c:v>
                </c:pt>
                <c:pt idx="9">
                  <c:v>2.5</c:v>
                </c:pt>
                <c:pt idx="10">
                  <c:v>2.5</c:v>
                </c:pt>
                <c:pt idx="11">
                  <c:v>2.5</c:v>
                </c:pt>
                <c:pt idx="12">
                  <c:v>2.5</c:v>
                </c:pt>
                <c:pt idx="13">
                  <c:v>2.5</c:v>
                </c:pt>
                <c:pt idx="14">
                  <c:v>2.5</c:v>
                </c:pt>
                <c:pt idx="15">
                  <c:v>2.5</c:v>
                </c:pt>
                <c:pt idx="16">
                  <c:v>2.5</c:v>
                </c:pt>
                <c:pt idx="17">
                  <c:v>2.5</c:v>
                </c:pt>
                <c:pt idx="18">
                  <c:v>2.5</c:v>
                </c:pt>
                <c:pt idx="19">
                  <c:v>2.5</c:v>
                </c:pt>
                <c:pt idx="20">
                  <c:v>2.5</c:v>
                </c:pt>
                <c:pt idx="21">
                  <c:v>2.5</c:v>
                </c:pt>
                <c:pt idx="22">
                  <c:v>2.5</c:v>
                </c:pt>
                <c:pt idx="23">
                  <c:v>2.5</c:v>
                </c:pt>
                <c:pt idx="24">
                  <c:v>2.5</c:v>
                </c:pt>
                <c:pt idx="25">
                  <c:v>2.5</c:v>
                </c:pt>
                <c:pt idx="26">
                  <c:v>2.5</c:v>
                </c:pt>
                <c:pt idx="27">
                  <c:v>2.5</c:v>
                </c:pt>
                <c:pt idx="28">
                  <c:v>2.5</c:v>
                </c:pt>
                <c:pt idx="29">
                  <c:v>2.5</c:v>
                </c:pt>
                <c:pt idx="30">
                  <c:v>2.5</c:v>
                </c:pt>
                <c:pt idx="31">
                  <c:v>2.5</c:v>
                </c:pt>
                <c:pt idx="32">
                  <c:v>2.5</c:v>
                </c:pt>
                <c:pt idx="33">
                  <c:v>2.5</c:v>
                </c:pt>
              </c:numCache>
            </c:numRef>
          </c:val>
          <c:extLst>
            <c:ext xmlns:c16="http://schemas.microsoft.com/office/drawing/2014/chart" uri="{C3380CC4-5D6E-409C-BE32-E72D297353CC}">
              <c16:uniqueId val="{00000000-E4E9-41F1-B13D-9FDD6BAEDB28}"/>
            </c:ext>
          </c:extLst>
        </c:ser>
        <c:dLbls>
          <c:showLegendKey val="0"/>
          <c:showVal val="0"/>
          <c:showCatName val="0"/>
          <c:showSerName val="0"/>
          <c:showPercent val="0"/>
          <c:showBubbleSize val="0"/>
        </c:dLbls>
        <c:gapWidth val="150"/>
        <c:overlap val="100"/>
        <c:axId val="2122174424"/>
        <c:axId val="2116876520"/>
      </c:barChart>
      <c:catAx>
        <c:axId val="2122174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16876520"/>
        <c:crosses val="autoZero"/>
        <c:auto val="1"/>
        <c:lblAlgn val="ctr"/>
        <c:lblOffset val="100"/>
        <c:noMultiLvlLbl val="0"/>
      </c:catAx>
      <c:valAx>
        <c:axId val="21168765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2174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b="0" i="0" baseline="0">
                <a:effectLst/>
              </a:rPr>
              <a:t>Subwatershed Analysis for Sites</a:t>
            </a:r>
            <a:endParaRPr lang="en-US" sz="1600">
              <a:effectLst/>
            </a:endParaRP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Charts!$L$2</c:f>
              <c:strCache>
                <c:ptCount val="1"/>
                <c:pt idx="0">
                  <c:v>Water quantity</c:v>
                </c:pt>
              </c:strCache>
            </c:strRef>
          </c:tx>
          <c:spPr>
            <a:solidFill>
              <a:schemeClr val="accent5"/>
            </a:solidFill>
            <a:ln>
              <a:noFill/>
            </a:ln>
            <a:effectLst/>
          </c:spPr>
          <c:invertIfNegative val="0"/>
          <c:cat>
            <c:numRef>
              <c:f>Charts!$E$3:$E$36</c:f>
              <c:numCache>
                <c:formatCode>General</c:formatCod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numCache>
            </c:numRef>
          </c:cat>
          <c:val>
            <c:numRef>
              <c:f>Charts!$L$3:$L$36</c:f>
              <c:numCache>
                <c:formatCode>0%</c:formatCode>
                <c:ptCount val="34"/>
                <c:pt idx="0">
                  <c:v>0.22222222222222221</c:v>
                </c:pt>
                <c:pt idx="1">
                  <c:v>0.22222222222222221</c:v>
                </c:pt>
                <c:pt idx="2">
                  <c:v>0.19718309859154928</c:v>
                </c:pt>
                <c:pt idx="3">
                  <c:v>0.22950819672131148</c:v>
                </c:pt>
                <c:pt idx="4">
                  <c:v>0.19718309859154928</c:v>
                </c:pt>
                <c:pt idx="5">
                  <c:v>0.20895522388059701</c:v>
                </c:pt>
                <c:pt idx="6">
                  <c:v>0.2153846153846154</c:v>
                </c:pt>
                <c:pt idx="7">
                  <c:v>0.15873015873015872</c:v>
                </c:pt>
                <c:pt idx="8">
                  <c:v>0.19718309859154928</c:v>
                </c:pt>
                <c:pt idx="9">
                  <c:v>0.19178082191780821</c:v>
                </c:pt>
                <c:pt idx="10">
                  <c:v>0.22950819672131148</c:v>
                </c:pt>
                <c:pt idx="11">
                  <c:v>0.2153846153846154</c:v>
                </c:pt>
                <c:pt idx="12">
                  <c:v>0.23728813559322035</c:v>
                </c:pt>
                <c:pt idx="13">
                  <c:v>0.23728813559322035</c:v>
                </c:pt>
                <c:pt idx="14">
                  <c:v>0.2153846153846154</c:v>
                </c:pt>
                <c:pt idx="15">
                  <c:v>0.23728813559322035</c:v>
                </c:pt>
                <c:pt idx="16">
                  <c:v>0.14925373134328357</c:v>
                </c:pt>
                <c:pt idx="17">
                  <c:v>0.20895522388059701</c:v>
                </c:pt>
                <c:pt idx="18">
                  <c:v>0.19718309859154928</c:v>
                </c:pt>
                <c:pt idx="19">
                  <c:v>0.20895522388059701</c:v>
                </c:pt>
                <c:pt idx="20">
                  <c:v>0.20895522388059701</c:v>
                </c:pt>
                <c:pt idx="21">
                  <c:v>0.20895522388059701</c:v>
                </c:pt>
                <c:pt idx="22">
                  <c:v>0.22950819672131148</c:v>
                </c:pt>
                <c:pt idx="23">
                  <c:v>0.22222222222222221</c:v>
                </c:pt>
                <c:pt idx="24">
                  <c:v>0.22222222222222221</c:v>
                </c:pt>
                <c:pt idx="25">
                  <c:v>0.22222222222222221</c:v>
                </c:pt>
                <c:pt idx="26">
                  <c:v>0.2153846153846154</c:v>
                </c:pt>
                <c:pt idx="27">
                  <c:v>0.23728813559322035</c:v>
                </c:pt>
                <c:pt idx="28">
                  <c:v>0.23728813559322035</c:v>
                </c:pt>
                <c:pt idx="29">
                  <c:v>0.22950819672131148</c:v>
                </c:pt>
                <c:pt idx="30">
                  <c:v>0.22950819672131148</c:v>
                </c:pt>
                <c:pt idx="31">
                  <c:v>0.23728813559322035</c:v>
                </c:pt>
                <c:pt idx="32">
                  <c:v>0.15094339622641509</c:v>
                </c:pt>
                <c:pt idx="33">
                  <c:v>0.15094339622641509</c:v>
                </c:pt>
              </c:numCache>
            </c:numRef>
          </c:val>
          <c:extLst>
            <c:ext xmlns:c16="http://schemas.microsoft.com/office/drawing/2014/chart" uri="{C3380CC4-5D6E-409C-BE32-E72D297353CC}">
              <c16:uniqueId val="{00000000-78E9-486A-B893-1BAE08D5ED5D}"/>
            </c:ext>
          </c:extLst>
        </c:ser>
        <c:ser>
          <c:idx val="1"/>
          <c:order val="1"/>
          <c:tx>
            <c:strRef>
              <c:f>Charts!$M$2</c:f>
              <c:strCache>
                <c:ptCount val="1"/>
                <c:pt idx="0">
                  <c:v>Water quality</c:v>
                </c:pt>
              </c:strCache>
            </c:strRef>
          </c:tx>
          <c:spPr>
            <a:solidFill>
              <a:schemeClr val="accent2"/>
            </a:solidFill>
            <a:ln>
              <a:noFill/>
            </a:ln>
            <a:effectLst/>
          </c:spPr>
          <c:invertIfNegative val="0"/>
          <c:cat>
            <c:numRef>
              <c:f>Charts!$E$3:$E$36</c:f>
              <c:numCache>
                <c:formatCode>General</c:formatCod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numCache>
            </c:numRef>
          </c:cat>
          <c:val>
            <c:numRef>
              <c:f>Charts!$M$3:$M$36</c:f>
              <c:numCache>
                <c:formatCode>0%</c:formatCode>
                <c:ptCount val="34"/>
                <c:pt idx="0">
                  <c:v>0.12698412698412698</c:v>
                </c:pt>
                <c:pt idx="1">
                  <c:v>0.12698412698412698</c:v>
                </c:pt>
                <c:pt idx="2">
                  <c:v>0.22535211267605634</c:v>
                </c:pt>
                <c:pt idx="3">
                  <c:v>0.26229508196721313</c:v>
                </c:pt>
                <c:pt idx="4">
                  <c:v>0.22535211267605634</c:v>
                </c:pt>
                <c:pt idx="5">
                  <c:v>0.23880597014925373</c:v>
                </c:pt>
                <c:pt idx="6">
                  <c:v>0.24615384615384617</c:v>
                </c:pt>
                <c:pt idx="7">
                  <c:v>0.25396825396825395</c:v>
                </c:pt>
                <c:pt idx="8">
                  <c:v>0.22535211267605634</c:v>
                </c:pt>
                <c:pt idx="9">
                  <c:v>0.21917808219178081</c:v>
                </c:pt>
                <c:pt idx="10">
                  <c:v>0.26229508196721313</c:v>
                </c:pt>
                <c:pt idx="11">
                  <c:v>0.24615384615384617</c:v>
                </c:pt>
                <c:pt idx="12">
                  <c:v>0.13559322033898305</c:v>
                </c:pt>
                <c:pt idx="13">
                  <c:v>0.13559322033898305</c:v>
                </c:pt>
                <c:pt idx="14">
                  <c:v>0.12307692307692308</c:v>
                </c:pt>
                <c:pt idx="15">
                  <c:v>0.2711864406779661</c:v>
                </c:pt>
                <c:pt idx="16">
                  <c:v>0.23880597014925373</c:v>
                </c:pt>
                <c:pt idx="17">
                  <c:v>0.23880597014925373</c:v>
                </c:pt>
                <c:pt idx="18">
                  <c:v>0.22535211267605634</c:v>
                </c:pt>
                <c:pt idx="19">
                  <c:v>0.23880597014925373</c:v>
                </c:pt>
                <c:pt idx="20">
                  <c:v>0.23880597014925373</c:v>
                </c:pt>
                <c:pt idx="21">
                  <c:v>0.23880597014925373</c:v>
                </c:pt>
                <c:pt idx="22">
                  <c:v>0.26229508196721313</c:v>
                </c:pt>
                <c:pt idx="23">
                  <c:v>0.25396825396825395</c:v>
                </c:pt>
                <c:pt idx="24">
                  <c:v>0.25396825396825395</c:v>
                </c:pt>
                <c:pt idx="25">
                  <c:v>0.25396825396825395</c:v>
                </c:pt>
                <c:pt idx="26">
                  <c:v>0.12307692307692308</c:v>
                </c:pt>
                <c:pt idx="27">
                  <c:v>0.13559322033898305</c:v>
                </c:pt>
                <c:pt idx="28">
                  <c:v>0.13559322033898305</c:v>
                </c:pt>
                <c:pt idx="29">
                  <c:v>0.26229508196721313</c:v>
                </c:pt>
                <c:pt idx="30">
                  <c:v>0.26229508196721313</c:v>
                </c:pt>
                <c:pt idx="31">
                  <c:v>0.13559322033898305</c:v>
                </c:pt>
                <c:pt idx="32">
                  <c:v>0.15094339622641509</c:v>
                </c:pt>
                <c:pt idx="33">
                  <c:v>0.30188679245283018</c:v>
                </c:pt>
              </c:numCache>
            </c:numRef>
          </c:val>
          <c:extLst>
            <c:ext xmlns:c16="http://schemas.microsoft.com/office/drawing/2014/chart" uri="{C3380CC4-5D6E-409C-BE32-E72D297353CC}">
              <c16:uniqueId val="{00000001-78E9-486A-B893-1BAE08D5ED5D}"/>
            </c:ext>
          </c:extLst>
        </c:ser>
        <c:ser>
          <c:idx val="2"/>
          <c:order val="2"/>
          <c:tx>
            <c:strRef>
              <c:f>Charts!$N$2</c:f>
              <c:strCache>
                <c:ptCount val="1"/>
                <c:pt idx="0">
                  <c:v>Ecosystems</c:v>
                </c:pt>
              </c:strCache>
            </c:strRef>
          </c:tx>
          <c:spPr>
            <a:solidFill>
              <a:schemeClr val="accent6"/>
            </a:solidFill>
            <a:ln>
              <a:noFill/>
            </a:ln>
            <a:effectLst/>
          </c:spPr>
          <c:invertIfNegative val="0"/>
          <c:cat>
            <c:numRef>
              <c:f>Charts!$E$3:$E$36</c:f>
              <c:numCache>
                <c:formatCode>General</c:formatCod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numCache>
            </c:numRef>
          </c:cat>
          <c:val>
            <c:numRef>
              <c:f>Charts!$N$3:$N$36</c:f>
              <c:numCache>
                <c:formatCode>0%</c:formatCode>
                <c:ptCount val="34"/>
                <c:pt idx="0">
                  <c:v>0.19047619047619047</c:v>
                </c:pt>
                <c:pt idx="1">
                  <c:v>0.19047619047619047</c:v>
                </c:pt>
                <c:pt idx="2">
                  <c:v>0.16901408450704225</c:v>
                </c:pt>
                <c:pt idx="3">
                  <c:v>6.5573770491803282E-2</c:v>
                </c:pt>
                <c:pt idx="4">
                  <c:v>0.16901408450704225</c:v>
                </c:pt>
                <c:pt idx="5">
                  <c:v>0.17910447761194029</c:v>
                </c:pt>
                <c:pt idx="6">
                  <c:v>6.1538461538461542E-2</c:v>
                </c:pt>
                <c:pt idx="7">
                  <c:v>0.19047619047619047</c:v>
                </c:pt>
                <c:pt idx="8">
                  <c:v>0.16901408450704225</c:v>
                </c:pt>
                <c:pt idx="9">
                  <c:v>0.16438356164383561</c:v>
                </c:pt>
                <c:pt idx="10">
                  <c:v>6.5573770491803282E-2</c:v>
                </c:pt>
                <c:pt idx="11">
                  <c:v>6.1538461538461542E-2</c:v>
                </c:pt>
                <c:pt idx="12">
                  <c:v>0.20338983050847459</c:v>
                </c:pt>
                <c:pt idx="13">
                  <c:v>0.20338983050847459</c:v>
                </c:pt>
                <c:pt idx="14">
                  <c:v>0.18461538461538463</c:v>
                </c:pt>
                <c:pt idx="15">
                  <c:v>6.7796610169491525E-2</c:v>
                </c:pt>
                <c:pt idx="16">
                  <c:v>0.17910447761194029</c:v>
                </c:pt>
                <c:pt idx="17">
                  <c:v>0.17910447761194029</c:v>
                </c:pt>
                <c:pt idx="18">
                  <c:v>0.16901408450704225</c:v>
                </c:pt>
                <c:pt idx="19">
                  <c:v>0.17910447761194029</c:v>
                </c:pt>
                <c:pt idx="20">
                  <c:v>0.17910447761194029</c:v>
                </c:pt>
                <c:pt idx="21">
                  <c:v>0.17910447761194029</c:v>
                </c:pt>
                <c:pt idx="22">
                  <c:v>6.5573770491803282E-2</c:v>
                </c:pt>
                <c:pt idx="23">
                  <c:v>6.3492063492063489E-2</c:v>
                </c:pt>
                <c:pt idx="24">
                  <c:v>6.3492063492063489E-2</c:v>
                </c:pt>
                <c:pt idx="25">
                  <c:v>6.3492063492063489E-2</c:v>
                </c:pt>
                <c:pt idx="26">
                  <c:v>0.18461538461538463</c:v>
                </c:pt>
                <c:pt idx="27">
                  <c:v>0.20338983050847459</c:v>
                </c:pt>
                <c:pt idx="28">
                  <c:v>0.20338983050847459</c:v>
                </c:pt>
                <c:pt idx="29">
                  <c:v>6.5573770491803282E-2</c:v>
                </c:pt>
                <c:pt idx="30">
                  <c:v>6.5573770491803282E-2</c:v>
                </c:pt>
                <c:pt idx="31">
                  <c:v>0.20338983050847459</c:v>
                </c:pt>
                <c:pt idx="32">
                  <c:v>0.22641509433962265</c:v>
                </c:pt>
                <c:pt idx="33">
                  <c:v>7.5471698113207544E-2</c:v>
                </c:pt>
              </c:numCache>
            </c:numRef>
          </c:val>
          <c:extLst>
            <c:ext xmlns:c16="http://schemas.microsoft.com/office/drawing/2014/chart" uri="{C3380CC4-5D6E-409C-BE32-E72D297353CC}">
              <c16:uniqueId val="{00000002-78E9-486A-B893-1BAE08D5ED5D}"/>
            </c:ext>
          </c:extLst>
        </c:ser>
        <c:ser>
          <c:idx val="3"/>
          <c:order val="3"/>
          <c:tx>
            <c:strRef>
              <c:f>Charts!$O$2</c:f>
              <c:strCache>
                <c:ptCount val="1"/>
                <c:pt idx="0">
                  <c:v>WASH</c:v>
                </c:pt>
              </c:strCache>
            </c:strRef>
          </c:tx>
          <c:spPr>
            <a:solidFill>
              <a:schemeClr val="accent4"/>
            </a:solidFill>
            <a:ln>
              <a:noFill/>
            </a:ln>
            <a:effectLst/>
          </c:spPr>
          <c:invertIfNegative val="0"/>
          <c:cat>
            <c:numRef>
              <c:f>Charts!$E$3:$E$36</c:f>
              <c:numCache>
                <c:formatCode>General</c:formatCod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numCache>
            </c:numRef>
          </c:cat>
          <c:val>
            <c:numRef>
              <c:f>Charts!$O$3:$O$36</c:f>
              <c:numCache>
                <c:formatCode>0%</c:formatCode>
                <c:ptCount val="34"/>
                <c:pt idx="0">
                  <c:v>7.9365079365079361E-2</c:v>
                </c:pt>
                <c:pt idx="1">
                  <c:v>7.9365079365079361E-2</c:v>
                </c:pt>
                <c:pt idx="2">
                  <c:v>7.0422535211267609E-2</c:v>
                </c:pt>
                <c:pt idx="3">
                  <c:v>0.11475409836065574</c:v>
                </c:pt>
                <c:pt idx="4">
                  <c:v>7.0422535211267609E-2</c:v>
                </c:pt>
                <c:pt idx="5">
                  <c:v>7.4626865671641784E-2</c:v>
                </c:pt>
                <c:pt idx="6">
                  <c:v>0.1076923076923077</c:v>
                </c:pt>
                <c:pt idx="7">
                  <c:v>7.9365079365079361E-2</c:v>
                </c:pt>
                <c:pt idx="8">
                  <c:v>7.0422535211267609E-2</c:v>
                </c:pt>
                <c:pt idx="9">
                  <c:v>9.5890410958904104E-2</c:v>
                </c:pt>
                <c:pt idx="10">
                  <c:v>0.11475409836065574</c:v>
                </c:pt>
                <c:pt idx="11">
                  <c:v>0.1076923076923077</c:v>
                </c:pt>
                <c:pt idx="12">
                  <c:v>8.4745762711864403E-2</c:v>
                </c:pt>
                <c:pt idx="13">
                  <c:v>8.4745762711864403E-2</c:v>
                </c:pt>
                <c:pt idx="14">
                  <c:v>0.1076923076923077</c:v>
                </c:pt>
                <c:pt idx="15">
                  <c:v>8.4745762711864403E-2</c:v>
                </c:pt>
                <c:pt idx="16">
                  <c:v>7.4626865671641784E-2</c:v>
                </c:pt>
                <c:pt idx="17">
                  <c:v>7.4626865671641784E-2</c:v>
                </c:pt>
                <c:pt idx="18">
                  <c:v>7.0422535211267609E-2</c:v>
                </c:pt>
                <c:pt idx="19">
                  <c:v>7.4626865671641784E-2</c:v>
                </c:pt>
                <c:pt idx="20">
                  <c:v>7.4626865671641784E-2</c:v>
                </c:pt>
                <c:pt idx="21">
                  <c:v>7.4626865671641784E-2</c:v>
                </c:pt>
                <c:pt idx="22">
                  <c:v>0.11475409836065574</c:v>
                </c:pt>
                <c:pt idx="23">
                  <c:v>7.9365079365079361E-2</c:v>
                </c:pt>
                <c:pt idx="24">
                  <c:v>7.9365079365079361E-2</c:v>
                </c:pt>
                <c:pt idx="25">
                  <c:v>7.9365079365079361E-2</c:v>
                </c:pt>
                <c:pt idx="26">
                  <c:v>0.1076923076923077</c:v>
                </c:pt>
                <c:pt idx="27">
                  <c:v>8.4745762711864403E-2</c:v>
                </c:pt>
                <c:pt idx="28">
                  <c:v>8.4745762711864403E-2</c:v>
                </c:pt>
                <c:pt idx="29">
                  <c:v>0.11475409836065574</c:v>
                </c:pt>
                <c:pt idx="30">
                  <c:v>0.11475409836065574</c:v>
                </c:pt>
                <c:pt idx="31">
                  <c:v>8.4745762711864403E-2</c:v>
                </c:pt>
                <c:pt idx="32">
                  <c:v>9.4339622641509441E-2</c:v>
                </c:pt>
                <c:pt idx="33">
                  <c:v>9.4339622641509441E-2</c:v>
                </c:pt>
              </c:numCache>
            </c:numRef>
          </c:val>
          <c:extLst>
            <c:ext xmlns:c16="http://schemas.microsoft.com/office/drawing/2014/chart" uri="{C3380CC4-5D6E-409C-BE32-E72D297353CC}">
              <c16:uniqueId val="{00000003-78E9-486A-B893-1BAE08D5ED5D}"/>
            </c:ext>
          </c:extLst>
        </c:ser>
        <c:ser>
          <c:idx val="4"/>
          <c:order val="4"/>
          <c:tx>
            <c:strRef>
              <c:f>Charts!$P$2</c:f>
              <c:strCache>
                <c:ptCount val="1"/>
                <c:pt idx="0">
                  <c:v>Extreme events</c:v>
                </c:pt>
              </c:strCache>
            </c:strRef>
          </c:tx>
          <c:spPr>
            <a:solidFill>
              <a:schemeClr val="accent3"/>
            </a:solidFill>
            <a:ln>
              <a:noFill/>
            </a:ln>
            <a:effectLst/>
          </c:spPr>
          <c:invertIfNegative val="0"/>
          <c:cat>
            <c:numRef>
              <c:f>Charts!$E$3:$E$36</c:f>
              <c:numCache>
                <c:formatCode>General</c:formatCod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numCache>
            </c:numRef>
          </c:cat>
          <c:val>
            <c:numRef>
              <c:f>Charts!$P$3:$P$36</c:f>
              <c:numCache>
                <c:formatCode>0%</c:formatCode>
                <c:ptCount val="34"/>
                <c:pt idx="0">
                  <c:v>0.22222222222222221</c:v>
                </c:pt>
                <c:pt idx="1">
                  <c:v>0.22222222222222221</c:v>
                </c:pt>
                <c:pt idx="2">
                  <c:v>0.19718309859154928</c:v>
                </c:pt>
                <c:pt idx="3">
                  <c:v>0.16393442622950818</c:v>
                </c:pt>
                <c:pt idx="4">
                  <c:v>0.19718309859154928</c:v>
                </c:pt>
                <c:pt idx="5">
                  <c:v>0.14925373134328357</c:v>
                </c:pt>
                <c:pt idx="6">
                  <c:v>0.2153846153846154</c:v>
                </c:pt>
                <c:pt idx="7">
                  <c:v>0.15873015873015872</c:v>
                </c:pt>
                <c:pt idx="8">
                  <c:v>0.19718309859154928</c:v>
                </c:pt>
                <c:pt idx="9">
                  <c:v>0.19178082191780821</c:v>
                </c:pt>
                <c:pt idx="10">
                  <c:v>0.16393442622950818</c:v>
                </c:pt>
                <c:pt idx="11">
                  <c:v>0.2153846153846154</c:v>
                </c:pt>
                <c:pt idx="12">
                  <c:v>0.16949152542372881</c:v>
                </c:pt>
                <c:pt idx="13">
                  <c:v>0.16949152542372881</c:v>
                </c:pt>
                <c:pt idx="14">
                  <c:v>0.2153846153846154</c:v>
                </c:pt>
                <c:pt idx="15">
                  <c:v>0.16949152542372881</c:v>
                </c:pt>
                <c:pt idx="16">
                  <c:v>0.20895522388059701</c:v>
                </c:pt>
                <c:pt idx="17">
                  <c:v>0.14925373134328357</c:v>
                </c:pt>
                <c:pt idx="18">
                  <c:v>0.19718309859154928</c:v>
                </c:pt>
                <c:pt idx="19">
                  <c:v>0.14925373134328357</c:v>
                </c:pt>
                <c:pt idx="20">
                  <c:v>0.14925373134328357</c:v>
                </c:pt>
                <c:pt idx="21">
                  <c:v>0.14925373134328357</c:v>
                </c:pt>
                <c:pt idx="22">
                  <c:v>0.16393442622950818</c:v>
                </c:pt>
                <c:pt idx="23">
                  <c:v>0.22222222222222221</c:v>
                </c:pt>
                <c:pt idx="24">
                  <c:v>0.22222222222222221</c:v>
                </c:pt>
                <c:pt idx="25">
                  <c:v>0.22222222222222221</c:v>
                </c:pt>
                <c:pt idx="26">
                  <c:v>0.2153846153846154</c:v>
                </c:pt>
                <c:pt idx="27">
                  <c:v>0.16949152542372881</c:v>
                </c:pt>
                <c:pt idx="28">
                  <c:v>0.16949152542372881</c:v>
                </c:pt>
                <c:pt idx="29">
                  <c:v>0.16393442622950818</c:v>
                </c:pt>
                <c:pt idx="30">
                  <c:v>0.16393442622950818</c:v>
                </c:pt>
                <c:pt idx="31">
                  <c:v>0.16949152542372881</c:v>
                </c:pt>
                <c:pt idx="32">
                  <c:v>0.18867924528301888</c:v>
                </c:pt>
                <c:pt idx="33">
                  <c:v>0.18867924528301888</c:v>
                </c:pt>
              </c:numCache>
            </c:numRef>
          </c:val>
          <c:extLst>
            <c:ext xmlns:c16="http://schemas.microsoft.com/office/drawing/2014/chart" uri="{C3380CC4-5D6E-409C-BE32-E72D297353CC}">
              <c16:uniqueId val="{00000004-78E9-486A-B893-1BAE08D5ED5D}"/>
            </c:ext>
          </c:extLst>
        </c:ser>
        <c:ser>
          <c:idx val="5"/>
          <c:order val="5"/>
          <c:tx>
            <c:strRef>
              <c:f>Charts!$Q$2</c:f>
              <c:strCache>
                <c:ptCount val="1"/>
                <c:pt idx="0">
                  <c:v>Governance</c:v>
                </c:pt>
              </c:strCache>
            </c:strRef>
          </c:tx>
          <c:spPr>
            <a:solidFill>
              <a:srgbClr val="8C3FC5"/>
            </a:solidFill>
            <a:ln>
              <a:noFill/>
            </a:ln>
            <a:effectLst/>
          </c:spPr>
          <c:invertIfNegative val="0"/>
          <c:cat>
            <c:numRef>
              <c:f>Charts!$E$3:$E$36</c:f>
              <c:numCache>
                <c:formatCode>General</c:formatCod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numCache>
            </c:numRef>
          </c:cat>
          <c:val>
            <c:numRef>
              <c:f>Charts!$Q$3:$Q$36</c:f>
              <c:numCache>
                <c:formatCode>0%</c:formatCode>
                <c:ptCount val="34"/>
                <c:pt idx="0">
                  <c:v>0.15873015873015872</c:v>
                </c:pt>
                <c:pt idx="1">
                  <c:v>0.15873015873015872</c:v>
                </c:pt>
                <c:pt idx="2">
                  <c:v>0.14084507042253522</c:v>
                </c:pt>
                <c:pt idx="3">
                  <c:v>0.16393442622950818</c:v>
                </c:pt>
                <c:pt idx="4">
                  <c:v>0.14084507042253522</c:v>
                </c:pt>
                <c:pt idx="5">
                  <c:v>0.14925373134328357</c:v>
                </c:pt>
                <c:pt idx="6">
                  <c:v>0.15384615384615385</c:v>
                </c:pt>
                <c:pt idx="7">
                  <c:v>0.15873015873015872</c:v>
                </c:pt>
                <c:pt idx="8">
                  <c:v>0.14084507042253522</c:v>
                </c:pt>
                <c:pt idx="9">
                  <c:v>0.13698630136986301</c:v>
                </c:pt>
                <c:pt idx="10">
                  <c:v>0.16393442622950818</c:v>
                </c:pt>
                <c:pt idx="11">
                  <c:v>0.15384615384615385</c:v>
                </c:pt>
                <c:pt idx="12">
                  <c:v>0.16949152542372881</c:v>
                </c:pt>
                <c:pt idx="13">
                  <c:v>0.16949152542372881</c:v>
                </c:pt>
                <c:pt idx="14">
                  <c:v>0.15384615384615385</c:v>
                </c:pt>
                <c:pt idx="15">
                  <c:v>0.16949152542372881</c:v>
                </c:pt>
                <c:pt idx="16">
                  <c:v>0.14925373134328357</c:v>
                </c:pt>
                <c:pt idx="17">
                  <c:v>0.14925373134328357</c:v>
                </c:pt>
                <c:pt idx="18">
                  <c:v>0.14084507042253522</c:v>
                </c:pt>
                <c:pt idx="19">
                  <c:v>0.14925373134328357</c:v>
                </c:pt>
                <c:pt idx="20">
                  <c:v>0.14925373134328357</c:v>
                </c:pt>
                <c:pt idx="21">
                  <c:v>0.14925373134328357</c:v>
                </c:pt>
                <c:pt idx="22">
                  <c:v>0.16393442622950818</c:v>
                </c:pt>
                <c:pt idx="23">
                  <c:v>0.15873015873015872</c:v>
                </c:pt>
                <c:pt idx="24">
                  <c:v>0.15873015873015872</c:v>
                </c:pt>
                <c:pt idx="25">
                  <c:v>0.15873015873015872</c:v>
                </c:pt>
                <c:pt idx="26">
                  <c:v>0.15384615384615385</c:v>
                </c:pt>
                <c:pt idx="27">
                  <c:v>0.16949152542372881</c:v>
                </c:pt>
                <c:pt idx="28">
                  <c:v>0.16949152542372881</c:v>
                </c:pt>
                <c:pt idx="29">
                  <c:v>0.16393442622950818</c:v>
                </c:pt>
                <c:pt idx="30">
                  <c:v>0.16393442622950818</c:v>
                </c:pt>
                <c:pt idx="31">
                  <c:v>0.16949152542372881</c:v>
                </c:pt>
                <c:pt idx="32">
                  <c:v>0.18867924528301888</c:v>
                </c:pt>
                <c:pt idx="33">
                  <c:v>0.18867924528301888</c:v>
                </c:pt>
              </c:numCache>
            </c:numRef>
          </c:val>
          <c:extLst>
            <c:ext xmlns:c16="http://schemas.microsoft.com/office/drawing/2014/chart" uri="{C3380CC4-5D6E-409C-BE32-E72D297353CC}">
              <c16:uniqueId val="{00000000-46C8-40EA-8FB0-2BA04ED17A12}"/>
            </c:ext>
          </c:extLst>
        </c:ser>
        <c:dLbls>
          <c:showLegendKey val="0"/>
          <c:showVal val="0"/>
          <c:showCatName val="0"/>
          <c:showSerName val="0"/>
          <c:showPercent val="0"/>
          <c:showBubbleSize val="0"/>
        </c:dLbls>
        <c:gapWidth val="150"/>
        <c:overlap val="100"/>
        <c:axId val="2064960584"/>
        <c:axId val="-2128520040"/>
      </c:barChart>
      <c:catAx>
        <c:axId val="2064960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8520040"/>
        <c:crosses val="autoZero"/>
        <c:auto val="1"/>
        <c:lblAlgn val="ctr"/>
        <c:lblOffset val="100"/>
        <c:noMultiLvlLbl val="0"/>
      </c:catAx>
      <c:valAx>
        <c:axId val="-212852004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6496058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Subwatershed Analysis for Sites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Charts!$F$2</c:f>
              <c:strCache>
                <c:ptCount val="1"/>
                <c:pt idx="0">
                  <c:v>Water quantity</c:v>
                </c:pt>
              </c:strCache>
            </c:strRef>
          </c:tx>
          <c:spPr>
            <a:solidFill>
              <a:schemeClr val="accent1"/>
            </a:solidFill>
            <a:ln>
              <a:noFill/>
            </a:ln>
            <a:effectLst/>
          </c:spPr>
          <c:invertIfNegative val="0"/>
          <c:cat>
            <c:strRef>
              <c:f>Charts!$D$3:$E$36</c:f>
              <c:strCach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strCache>
            </c:strRef>
          </c:cat>
          <c:val>
            <c:numRef>
              <c:f>Charts!$F$3:$F$36</c:f>
              <c:numCache>
                <c:formatCode>General</c:formatCode>
                <c:ptCount val="34"/>
                <c:pt idx="0">
                  <c:v>3.5</c:v>
                </c:pt>
                <c:pt idx="1">
                  <c:v>3.5</c:v>
                </c:pt>
                <c:pt idx="2">
                  <c:v>3.5</c:v>
                </c:pt>
                <c:pt idx="3">
                  <c:v>3.5</c:v>
                </c:pt>
                <c:pt idx="4">
                  <c:v>3.5</c:v>
                </c:pt>
                <c:pt idx="5">
                  <c:v>3.5</c:v>
                </c:pt>
                <c:pt idx="6">
                  <c:v>3.5</c:v>
                </c:pt>
                <c:pt idx="7">
                  <c:v>2.5</c:v>
                </c:pt>
                <c:pt idx="8">
                  <c:v>3.5</c:v>
                </c:pt>
                <c:pt idx="9">
                  <c:v>3.5</c:v>
                </c:pt>
                <c:pt idx="10">
                  <c:v>3.5</c:v>
                </c:pt>
                <c:pt idx="11">
                  <c:v>3.5</c:v>
                </c:pt>
                <c:pt idx="12">
                  <c:v>3.5</c:v>
                </c:pt>
                <c:pt idx="13">
                  <c:v>3.5</c:v>
                </c:pt>
                <c:pt idx="14">
                  <c:v>3.5</c:v>
                </c:pt>
                <c:pt idx="15">
                  <c:v>3.5</c:v>
                </c:pt>
                <c:pt idx="16">
                  <c:v>2.5</c:v>
                </c:pt>
                <c:pt idx="17">
                  <c:v>3.5</c:v>
                </c:pt>
                <c:pt idx="18">
                  <c:v>3.5</c:v>
                </c:pt>
                <c:pt idx="19">
                  <c:v>3.5</c:v>
                </c:pt>
                <c:pt idx="20">
                  <c:v>3.5</c:v>
                </c:pt>
                <c:pt idx="21">
                  <c:v>3.5</c:v>
                </c:pt>
                <c:pt idx="22">
                  <c:v>3.5</c:v>
                </c:pt>
                <c:pt idx="23">
                  <c:v>3.5</c:v>
                </c:pt>
                <c:pt idx="24">
                  <c:v>3.5</c:v>
                </c:pt>
                <c:pt idx="25">
                  <c:v>3.5</c:v>
                </c:pt>
                <c:pt idx="26">
                  <c:v>3.5</c:v>
                </c:pt>
                <c:pt idx="27">
                  <c:v>3.5</c:v>
                </c:pt>
                <c:pt idx="28">
                  <c:v>3.5</c:v>
                </c:pt>
                <c:pt idx="29">
                  <c:v>3.5</c:v>
                </c:pt>
                <c:pt idx="30">
                  <c:v>3.5</c:v>
                </c:pt>
                <c:pt idx="31">
                  <c:v>3.5</c:v>
                </c:pt>
                <c:pt idx="32">
                  <c:v>2</c:v>
                </c:pt>
                <c:pt idx="33">
                  <c:v>2</c:v>
                </c:pt>
              </c:numCache>
            </c:numRef>
          </c:val>
          <c:extLst>
            <c:ext xmlns:c16="http://schemas.microsoft.com/office/drawing/2014/chart" uri="{C3380CC4-5D6E-409C-BE32-E72D297353CC}">
              <c16:uniqueId val="{00000000-6D21-4C80-9B03-56091B04AE70}"/>
            </c:ext>
          </c:extLst>
        </c:ser>
        <c:ser>
          <c:idx val="1"/>
          <c:order val="1"/>
          <c:tx>
            <c:strRef>
              <c:f>Charts!$G$2</c:f>
              <c:strCache>
                <c:ptCount val="1"/>
                <c:pt idx="0">
                  <c:v>Water quality</c:v>
                </c:pt>
              </c:strCache>
            </c:strRef>
          </c:tx>
          <c:spPr>
            <a:solidFill>
              <a:schemeClr val="accent2"/>
            </a:solidFill>
            <a:ln>
              <a:noFill/>
            </a:ln>
            <a:effectLst/>
          </c:spPr>
          <c:invertIfNegative val="0"/>
          <c:cat>
            <c:strRef>
              <c:f>Charts!$D$3:$E$36</c:f>
              <c:strCach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strCache>
            </c:strRef>
          </c:cat>
          <c:val>
            <c:numRef>
              <c:f>Charts!$G$3:$G$36</c:f>
              <c:numCache>
                <c:formatCode>General</c:formatCode>
                <c:ptCount val="34"/>
                <c:pt idx="0">
                  <c:v>2</c:v>
                </c:pt>
                <c:pt idx="1">
                  <c:v>2</c:v>
                </c:pt>
                <c:pt idx="2">
                  <c:v>4</c:v>
                </c:pt>
                <c:pt idx="3">
                  <c:v>4</c:v>
                </c:pt>
                <c:pt idx="4">
                  <c:v>4</c:v>
                </c:pt>
                <c:pt idx="5">
                  <c:v>4</c:v>
                </c:pt>
                <c:pt idx="6">
                  <c:v>4</c:v>
                </c:pt>
                <c:pt idx="7">
                  <c:v>4</c:v>
                </c:pt>
                <c:pt idx="8">
                  <c:v>4</c:v>
                </c:pt>
                <c:pt idx="9">
                  <c:v>4</c:v>
                </c:pt>
                <c:pt idx="10">
                  <c:v>4</c:v>
                </c:pt>
                <c:pt idx="11">
                  <c:v>4</c:v>
                </c:pt>
                <c:pt idx="12">
                  <c:v>2</c:v>
                </c:pt>
                <c:pt idx="13">
                  <c:v>2</c:v>
                </c:pt>
                <c:pt idx="14">
                  <c:v>2</c:v>
                </c:pt>
                <c:pt idx="15">
                  <c:v>4</c:v>
                </c:pt>
                <c:pt idx="16">
                  <c:v>4</c:v>
                </c:pt>
                <c:pt idx="17">
                  <c:v>4</c:v>
                </c:pt>
                <c:pt idx="18">
                  <c:v>4</c:v>
                </c:pt>
                <c:pt idx="19">
                  <c:v>4</c:v>
                </c:pt>
                <c:pt idx="20">
                  <c:v>4</c:v>
                </c:pt>
                <c:pt idx="21">
                  <c:v>4</c:v>
                </c:pt>
                <c:pt idx="22">
                  <c:v>4</c:v>
                </c:pt>
                <c:pt idx="23">
                  <c:v>4</c:v>
                </c:pt>
                <c:pt idx="24">
                  <c:v>4</c:v>
                </c:pt>
                <c:pt idx="25">
                  <c:v>4</c:v>
                </c:pt>
                <c:pt idx="26">
                  <c:v>2</c:v>
                </c:pt>
                <c:pt idx="27">
                  <c:v>2</c:v>
                </c:pt>
                <c:pt idx="28">
                  <c:v>2</c:v>
                </c:pt>
                <c:pt idx="29">
                  <c:v>4</c:v>
                </c:pt>
                <c:pt idx="30">
                  <c:v>4</c:v>
                </c:pt>
                <c:pt idx="31">
                  <c:v>2</c:v>
                </c:pt>
                <c:pt idx="32">
                  <c:v>2</c:v>
                </c:pt>
                <c:pt idx="33">
                  <c:v>4</c:v>
                </c:pt>
              </c:numCache>
            </c:numRef>
          </c:val>
          <c:extLst>
            <c:ext xmlns:c16="http://schemas.microsoft.com/office/drawing/2014/chart" uri="{C3380CC4-5D6E-409C-BE32-E72D297353CC}">
              <c16:uniqueId val="{00000001-6D21-4C80-9B03-56091B04AE70}"/>
            </c:ext>
          </c:extLst>
        </c:ser>
        <c:ser>
          <c:idx val="2"/>
          <c:order val="2"/>
          <c:tx>
            <c:strRef>
              <c:f>Charts!$H$2</c:f>
              <c:strCache>
                <c:ptCount val="1"/>
                <c:pt idx="0">
                  <c:v>Ecosystems</c:v>
                </c:pt>
              </c:strCache>
            </c:strRef>
          </c:tx>
          <c:spPr>
            <a:solidFill>
              <a:schemeClr val="accent6"/>
            </a:solidFill>
            <a:ln>
              <a:noFill/>
            </a:ln>
            <a:effectLst/>
          </c:spPr>
          <c:invertIfNegative val="0"/>
          <c:cat>
            <c:strRef>
              <c:f>Charts!$D$3:$E$36</c:f>
              <c:strCach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strCache>
            </c:strRef>
          </c:cat>
          <c:val>
            <c:numRef>
              <c:f>Charts!$H$3:$H$36</c:f>
              <c:numCache>
                <c:formatCode>General</c:formatCode>
                <c:ptCount val="34"/>
                <c:pt idx="0">
                  <c:v>3</c:v>
                </c:pt>
                <c:pt idx="1">
                  <c:v>3</c:v>
                </c:pt>
                <c:pt idx="2">
                  <c:v>3</c:v>
                </c:pt>
                <c:pt idx="3">
                  <c:v>1</c:v>
                </c:pt>
                <c:pt idx="4">
                  <c:v>3</c:v>
                </c:pt>
                <c:pt idx="5">
                  <c:v>3</c:v>
                </c:pt>
                <c:pt idx="6">
                  <c:v>1</c:v>
                </c:pt>
                <c:pt idx="7">
                  <c:v>3</c:v>
                </c:pt>
                <c:pt idx="8">
                  <c:v>3</c:v>
                </c:pt>
                <c:pt idx="9">
                  <c:v>3</c:v>
                </c:pt>
                <c:pt idx="10">
                  <c:v>1</c:v>
                </c:pt>
                <c:pt idx="11">
                  <c:v>1</c:v>
                </c:pt>
                <c:pt idx="12">
                  <c:v>3</c:v>
                </c:pt>
                <c:pt idx="13">
                  <c:v>3</c:v>
                </c:pt>
                <c:pt idx="14">
                  <c:v>3</c:v>
                </c:pt>
                <c:pt idx="15">
                  <c:v>1</c:v>
                </c:pt>
                <c:pt idx="16">
                  <c:v>3</c:v>
                </c:pt>
                <c:pt idx="17">
                  <c:v>3</c:v>
                </c:pt>
                <c:pt idx="18">
                  <c:v>3</c:v>
                </c:pt>
                <c:pt idx="19">
                  <c:v>3</c:v>
                </c:pt>
                <c:pt idx="20">
                  <c:v>3</c:v>
                </c:pt>
                <c:pt idx="21">
                  <c:v>3</c:v>
                </c:pt>
                <c:pt idx="22">
                  <c:v>1</c:v>
                </c:pt>
                <c:pt idx="23">
                  <c:v>1</c:v>
                </c:pt>
                <c:pt idx="24">
                  <c:v>1</c:v>
                </c:pt>
                <c:pt idx="25">
                  <c:v>1</c:v>
                </c:pt>
                <c:pt idx="26">
                  <c:v>3</c:v>
                </c:pt>
                <c:pt idx="27">
                  <c:v>3</c:v>
                </c:pt>
                <c:pt idx="28">
                  <c:v>3</c:v>
                </c:pt>
                <c:pt idx="29">
                  <c:v>1</c:v>
                </c:pt>
                <c:pt idx="30">
                  <c:v>1</c:v>
                </c:pt>
                <c:pt idx="31">
                  <c:v>3</c:v>
                </c:pt>
                <c:pt idx="32">
                  <c:v>3</c:v>
                </c:pt>
                <c:pt idx="33">
                  <c:v>1</c:v>
                </c:pt>
              </c:numCache>
            </c:numRef>
          </c:val>
          <c:extLst>
            <c:ext xmlns:c16="http://schemas.microsoft.com/office/drawing/2014/chart" uri="{C3380CC4-5D6E-409C-BE32-E72D297353CC}">
              <c16:uniqueId val="{00000002-6D21-4C80-9B03-56091B04AE70}"/>
            </c:ext>
          </c:extLst>
        </c:ser>
        <c:ser>
          <c:idx val="3"/>
          <c:order val="3"/>
          <c:tx>
            <c:strRef>
              <c:f>Charts!$I$2</c:f>
              <c:strCache>
                <c:ptCount val="1"/>
                <c:pt idx="0">
                  <c:v>WASH</c:v>
                </c:pt>
              </c:strCache>
            </c:strRef>
          </c:tx>
          <c:spPr>
            <a:solidFill>
              <a:schemeClr val="accent4"/>
            </a:solidFill>
            <a:ln>
              <a:noFill/>
            </a:ln>
            <a:effectLst/>
          </c:spPr>
          <c:invertIfNegative val="0"/>
          <c:cat>
            <c:strRef>
              <c:f>Charts!$D$3:$E$36</c:f>
              <c:strCach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strCache>
            </c:strRef>
          </c:cat>
          <c:val>
            <c:numRef>
              <c:f>Charts!$I$3:$I$36</c:f>
              <c:numCache>
                <c:formatCode>General</c:formatCode>
                <c:ptCount val="34"/>
                <c:pt idx="0">
                  <c:v>1.25</c:v>
                </c:pt>
                <c:pt idx="1">
                  <c:v>1.25</c:v>
                </c:pt>
                <c:pt idx="2">
                  <c:v>1.25</c:v>
                </c:pt>
                <c:pt idx="3">
                  <c:v>1.75</c:v>
                </c:pt>
                <c:pt idx="4">
                  <c:v>1.25</c:v>
                </c:pt>
                <c:pt idx="5">
                  <c:v>1.25</c:v>
                </c:pt>
                <c:pt idx="6">
                  <c:v>1.75</c:v>
                </c:pt>
                <c:pt idx="7">
                  <c:v>1.25</c:v>
                </c:pt>
                <c:pt idx="8">
                  <c:v>1.25</c:v>
                </c:pt>
                <c:pt idx="9">
                  <c:v>1.75</c:v>
                </c:pt>
                <c:pt idx="10">
                  <c:v>1.75</c:v>
                </c:pt>
                <c:pt idx="11">
                  <c:v>1.75</c:v>
                </c:pt>
                <c:pt idx="12">
                  <c:v>1.25</c:v>
                </c:pt>
                <c:pt idx="13">
                  <c:v>1.25</c:v>
                </c:pt>
                <c:pt idx="14">
                  <c:v>1.75</c:v>
                </c:pt>
                <c:pt idx="15">
                  <c:v>1.25</c:v>
                </c:pt>
                <c:pt idx="16">
                  <c:v>1.25</c:v>
                </c:pt>
                <c:pt idx="17">
                  <c:v>1.25</c:v>
                </c:pt>
                <c:pt idx="18">
                  <c:v>1.25</c:v>
                </c:pt>
                <c:pt idx="19">
                  <c:v>1.25</c:v>
                </c:pt>
                <c:pt idx="20">
                  <c:v>1.25</c:v>
                </c:pt>
                <c:pt idx="21">
                  <c:v>1.25</c:v>
                </c:pt>
                <c:pt idx="22">
                  <c:v>1.75</c:v>
                </c:pt>
                <c:pt idx="23">
                  <c:v>1.25</c:v>
                </c:pt>
                <c:pt idx="24">
                  <c:v>1.25</c:v>
                </c:pt>
                <c:pt idx="25">
                  <c:v>1.25</c:v>
                </c:pt>
                <c:pt idx="26">
                  <c:v>1.75</c:v>
                </c:pt>
                <c:pt idx="27">
                  <c:v>1.25</c:v>
                </c:pt>
                <c:pt idx="28">
                  <c:v>1.25</c:v>
                </c:pt>
                <c:pt idx="29">
                  <c:v>1.75</c:v>
                </c:pt>
                <c:pt idx="30">
                  <c:v>1.75</c:v>
                </c:pt>
                <c:pt idx="31">
                  <c:v>1.25</c:v>
                </c:pt>
                <c:pt idx="32">
                  <c:v>1.25</c:v>
                </c:pt>
                <c:pt idx="33">
                  <c:v>1.25</c:v>
                </c:pt>
              </c:numCache>
            </c:numRef>
          </c:val>
          <c:extLst>
            <c:ext xmlns:c16="http://schemas.microsoft.com/office/drawing/2014/chart" uri="{C3380CC4-5D6E-409C-BE32-E72D297353CC}">
              <c16:uniqueId val="{00000003-6D21-4C80-9B03-56091B04AE70}"/>
            </c:ext>
          </c:extLst>
        </c:ser>
        <c:ser>
          <c:idx val="4"/>
          <c:order val="4"/>
          <c:tx>
            <c:strRef>
              <c:f>Charts!$J$2</c:f>
              <c:strCache>
                <c:ptCount val="1"/>
                <c:pt idx="0">
                  <c:v>Extreme events</c:v>
                </c:pt>
              </c:strCache>
            </c:strRef>
          </c:tx>
          <c:spPr>
            <a:solidFill>
              <a:schemeClr val="accent3"/>
            </a:solidFill>
            <a:ln>
              <a:noFill/>
            </a:ln>
            <a:effectLst/>
          </c:spPr>
          <c:invertIfNegative val="0"/>
          <c:cat>
            <c:strRef>
              <c:f>Charts!$D$3:$E$36</c:f>
              <c:strCach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strCache>
            </c:strRef>
          </c:cat>
          <c:val>
            <c:numRef>
              <c:f>Charts!$J$3:$J$36</c:f>
              <c:numCache>
                <c:formatCode>General</c:formatCode>
                <c:ptCount val="34"/>
                <c:pt idx="0">
                  <c:v>3.5</c:v>
                </c:pt>
                <c:pt idx="1">
                  <c:v>3.5</c:v>
                </c:pt>
                <c:pt idx="2">
                  <c:v>3.5</c:v>
                </c:pt>
                <c:pt idx="3">
                  <c:v>2.5</c:v>
                </c:pt>
                <c:pt idx="4">
                  <c:v>3.5</c:v>
                </c:pt>
                <c:pt idx="5">
                  <c:v>2.5</c:v>
                </c:pt>
                <c:pt idx="6">
                  <c:v>3.5</c:v>
                </c:pt>
                <c:pt idx="7">
                  <c:v>2.5</c:v>
                </c:pt>
                <c:pt idx="8">
                  <c:v>3.5</c:v>
                </c:pt>
                <c:pt idx="9">
                  <c:v>3.5</c:v>
                </c:pt>
                <c:pt idx="10">
                  <c:v>2.5</c:v>
                </c:pt>
                <c:pt idx="11">
                  <c:v>3.5</c:v>
                </c:pt>
                <c:pt idx="12">
                  <c:v>2.5</c:v>
                </c:pt>
                <c:pt idx="13">
                  <c:v>2.5</c:v>
                </c:pt>
                <c:pt idx="14">
                  <c:v>3.5</c:v>
                </c:pt>
                <c:pt idx="15">
                  <c:v>2.5</c:v>
                </c:pt>
                <c:pt idx="16">
                  <c:v>3.5</c:v>
                </c:pt>
                <c:pt idx="17">
                  <c:v>2.5</c:v>
                </c:pt>
                <c:pt idx="18">
                  <c:v>3.5</c:v>
                </c:pt>
                <c:pt idx="19">
                  <c:v>2.5</c:v>
                </c:pt>
                <c:pt idx="20">
                  <c:v>2.5</c:v>
                </c:pt>
                <c:pt idx="21">
                  <c:v>2.5</c:v>
                </c:pt>
                <c:pt idx="22">
                  <c:v>2.5</c:v>
                </c:pt>
                <c:pt idx="23">
                  <c:v>3.5</c:v>
                </c:pt>
                <c:pt idx="24">
                  <c:v>3.5</c:v>
                </c:pt>
                <c:pt idx="25">
                  <c:v>3.5</c:v>
                </c:pt>
                <c:pt idx="26">
                  <c:v>3.5</c:v>
                </c:pt>
                <c:pt idx="27">
                  <c:v>2.5</c:v>
                </c:pt>
                <c:pt idx="28">
                  <c:v>2.5</c:v>
                </c:pt>
                <c:pt idx="29">
                  <c:v>2.5</c:v>
                </c:pt>
                <c:pt idx="30">
                  <c:v>2.5</c:v>
                </c:pt>
                <c:pt idx="31">
                  <c:v>2.5</c:v>
                </c:pt>
                <c:pt idx="32">
                  <c:v>2.5</c:v>
                </c:pt>
                <c:pt idx="33">
                  <c:v>2.5</c:v>
                </c:pt>
              </c:numCache>
            </c:numRef>
          </c:val>
          <c:extLst>
            <c:ext xmlns:c16="http://schemas.microsoft.com/office/drawing/2014/chart" uri="{C3380CC4-5D6E-409C-BE32-E72D297353CC}">
              <c16:uniqueId val="{00000004-6D21-4C80-9B03-56091B04AE70}"/>
            </c:ext>
          </c:extLst>
        </c:ser>
        <c:ser>
          <c:idx val="5"/>
          <c:order val="5"/>
          <c:tx>
            <c:strRef>
              <c:f>Charts!$K$2</c:f>
              <c:strCache>
                <c:ptCount val="1"/>
                <c:pt idx="0">
                  <c:v>Governance</c:v>
                </c:pt>
              </c:strCache>
            </c:strRef>
          </c:tx>
          <c:spPr>
            <a:solidFill>
              <a:srgbClr val="8C3FC5"/>
            </a:solidFill>
            <a:ln>
              <a:noFill/>
            </a:ln>
            <a:effectLst/>
          </c:spPr>
          <c:invertIfNegative val="0"/>
          <c:cat>
            <c:strRef>
              <c:f>Charts!$D$3:$E$36</c:f>
              <c:strCach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strCache>
            </c:strRef>
          </c:cat>
          <c:val>
            <c:numRef>
              <c:f>Charts!$K$3:$K$36</c:f>
              <c:numCache>
                <c:formatCode>General</c:formatCode>
                <c:ptCount val="34"/>
                <c:pt idx="0">
                  <c:v>2.5</c:v>
                </c:pt>
                <c:pt idx="1">
                  <c:v>2.5</c:v>
                </c:pt>
                <c:pt idx="2">
                  <c:v>2.5</c:v>
                </c:pt>
                <c:pt idx="3">
                  <c:v>2.5</c:v>
                </c:pt>
                <c:pt idx="4">
                  <c:v>2.5</c:v>
                </c:pt>
                <c:pt idx="5">
                  <c:v>2.5</c:v>
                </c:pt>
                <c:pt idx="6">
                  <c:v>2.5</c:v>
                </c:pt>
                <c:pt idx="7">
                  <c:v>2.5</c:v>
                </c:pt>
                <c:pt idx="8">
                  <c:v>2.5</c:v>
                </c:pt>
                <c:pt idx="9">
                  <c:v>2.5</c:v>
                </c:pt>
                <c:pt idx="10">
                  <c:v>2.5</c:v>
                </c:pt>
                <c:pt idx="11">
                  <c:v>2.5</c:v>
                </c:pt>
                <c:pt idx="12">
                  <c:v>2.5</c:v>
                </c:pt>
                <c:pt idx="13">
                  <c:v>2.5</c:v>
                </c:pt>
                <c:pt idx="14">
                  <c:v>2.5</c:v>
                </c:pt>
                <c:pt idx="15">
                  <c:v>2.5</c:v>
                </c:pt>
                <c:pt idx="16">
                  <c:v>2.5</c:v>
                </c:pt>
                <c:pt idx="17">
                  <c:v>2.5</c:v>
                </c:pt>
                <c:pt idx="18">
                  <c:v>2.5</c:v>
                </c:pt>
                <c:pt idx="19">
                  <c:v>2.5</c:v>
                </c:pt>
                <c:pt idx="20">
                  <c:v>2.5</c:v>
                </c:pt>
                <c:pt idx="21">
                  <c:v>2.5</c:v>
                </c:pt>
                <c:pt idx="22">
                  <c:v>2.5</c:v>
                </c:pt>
                <c:pt idx="23">
                  <c:v>2.5</c:v>
                </c:pt>
                <c:pt idx="24">
                  <c:v>2.5</c:v>
                </c:pt>
                <c:pt idx="25">
                  <c:v>2.5</c:v>
                </c:pt>
                <c:pt idx="26">
                  <c:v>2.5</c:v>
                </c:pt>
                <c:pt idx="27">
                  <c:v>2.5</c:v>
                </c:pt>
                <c:pt idx="28">
                  <c:v>2.5</c:v>
                </c:pt>
                <c:pt idx="29">
                  <c:v>2.5</c:v>
                </c:pt>
                <c:pt idx="30">
                  <c:v>2.5</c:v>
                </c:pt>
                <c:pt idx="31">
                  <c:v>2.5</c:v>
                </c:pt>
                <c:pt idx="32">
                  <c:v>2.5</c:v>
                </c:pt>
                <c:pt idx="33">
                  <c:v>2.5</c:v>
                </c:pt>
              </c:numCache>
            </c:numRef>
          </c:val>
          <c:extLst>
            <c:ext xmlns:c16="http://schemas.microsoft.com/office/drawing/2014/chart" uri="{C3380CC4-5D6E-409C-BE32-E72D297353CC}">
              <c16:uniqueId val="{00000000-5309-4AA2-B8CC-E2E072BC10E0}"/>
            </c:ext>
          </c:extLst>
        </c:ser>
        <c:dLbls>
          <c:showLegendKey val="0"/>
          <c:showVal val="0"/>
          <c:showCatName val="0"/>
          <c:showSerName val="0"/>
          <c:showPercent val="0"/>
          <c:showBubbleSize val="0"/>
        </c:dLbls>
        <c:gapWidth val="150"/>
        <c:overlap val="100"/>
        <c:axId val="-2129337144"/>
        <c:axId val="-2128722040"/>
      </c:barChart>
      <c:catAx>
        <c:axId val="-2129337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8722040"/>
        <c:crosses val="autoZero"/>
        <c:auto val="1"/>
        <c:lblAlgn val="ctr"/>
        <c:lblOffset val="100"/>
        <c:noMultiLvlLbl val="0"/>
      </c:catAx>
      <c:valAx>
        <c:axId val="-2128722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93371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0" i="0" baseline="0">
                <a:effectLst/>
              </a:rPr>
              <a:t>Subwatershed Analysis for Sites</a:t>
            </a:r>
            <a:endParaRPr lang="en-US" sz="16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Charts!$L$2</c:f>
              <c:strCache>
                <c:ptCount val="1"/>
                <c:pt idx="0">
                  <c:v>Water quantity</c:v>
                </c:pt>
              </c:strCache>
            </c:strRef>
          </c:tx>
          <c:spPr>
            <a:solidFill>
              <a:schemeClr val="accent1"/>
            </a:solidFill>
            <a:ln>
              <a:noFill/>
            </a:ln>
            <a:effectLst/>
          </c:spPr>
          <c:invertIfNegative val="0"/>
          <c:cat>
            <c:strRef>
              <c:f>Charts!$D$3:$E$36</c:f>
              <c:strCach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strCache>
            </c:strRef>
          </c:cat>
          <c:val>
            <c:numRef>
              <c:f>Charts!$L$3:$L$36</c:f>
              <c:numCache>
                <c:formatCode>0%</c:formatCode>
                <c:ptCount val="34"/>
                <c:pt idx="0">
                  <c:v>0.22222222222222221</c:v>
                </c:pt>
                <c:pt idx="1">
                  <c:v>0.22222222222222221</c:v>
                </c:pt>
                <c:pt idx="2">
                  <c:v>0.19718309859154928</c:v>
                </c:pt>
                <c:pt idx="3">
                  <c:v>0.22950819672131148</c:v>
                </c:pt>
                <c:pt idx="4">
                  <c:v>0.19718309859154928</c:v>
                </c:pt>
                <c:pt idx="5">
                  <c:v>0.20895522388059701</c:v>
                </c:pt>
                <c:pt idx="6">
                  <c:v>0.2153846153846154</c:v>
                </c:pt>
                <c:pt idx="7">
                  <c:v>0.15873015873015872</c:v>
                </c:pt>
                <c:pt idx="8">
                  <c:v>0.19718309859154928</c:v>
                </c:pt>
                <c:pt idx="9">
                  <c:v>0.19178082191780821</c:v>
                </c:pt>
                <c:pt idx="10">
                  <c:v>0.22950819672131148</c:v>
                </c:pt>
                <c:pt idx="11">
                  <c:v>0.2153846153846154</c:v>
                </c:pt>
                <c:pt idx="12">
                  <c:v>0.23728813559322035</c:v>
                </c:pt>
                <c:pt idx="13">
                  <c:v>0.23728813559322035</c:v>
                </c:pt>
                <c:pt idx="14">
                  <c:v>0.2153846153846154</c:v>
                </c:pt>
                <c:pt idx="15">
                  <c:v>0.23728813559322035</c:v>
                </c:pt>
                <c:pt idx="16">
                  <c:v>0.14925373134328357</c:v>
                </c:pt>
                <c:pt idx="17">
                  <c:v>0.20895522388059701</c:v>
                </c:pt>
                <c:pt idx="18">
                  <c:v>0.19718309859154928</c:v>
                </c:pt>
                <c:pt idx="19">
                  <c:v>0.20895522388059701</c:v>
                </c:pt>
                <c:pt idx="20">
                  <c:v>0.20895522388059701</c:v>
                </c:pt>
                <c:pt idx="21">
                  <c:v>0.20895522388059701</c:v>
                </c:pt>
                <c:pt idx="22">
                  <c:v>0.22950819672131148</c:v>
                </c:pt>
                <c:pt idx="23">
                  <c:v>0.22222222222222221</c:v>
                </c:pt>
                <c:pt idx="24">
                  <c:v>0.22222222222222221</c:v>
                </c:pt>
                <c:pt idx="25">
                  <c:v>0.22222222222222221</c:v>
                </c:pt>
                <c:pt idx="26">
                  <c:v>0.2153846153846154</c:v>
                </c:pt>
                <c:pt idx="27">
                  <c:v>0.23728813559322035</c:v>
                </c:pt>
                <c:pt idx="28">
                  <c:v>0.23728813559322035</c:v>
                </c:pt>
                <c:pt idx="29">
                  <c:v>0.22950819672131148</c:v>
                </c:pt>
                <c:pt idx="30">
                  <c:v>0.22950819672131148</c:v>
                </c:pt>
                <c:pt idx="31">
                  <c:v>0.23728813559322035</c:v>
                </c:pt>
                <c:pt idx="32">
                  <c:v>0.15094339622641509</c:v>
                </c:pt>
                <c:pt idx="33">
                  <c:v>0.15094339622641509</c:v>
                </c:pt>
              </c:numCache>
            </c:numRef>
          </c:val>
          <c:extLst>
            <c:ext xmlns:c16="http://schemas.microsoft.com/office/drawing/2014/chart" uri="{C3380CC4-5D6E-409C-BE32-E72D297353CC}">
              <c16:uniqueId val="{00000000-2505-4A70-8351-02C18CDB8CF8}"/>
            </c:ext>
          </c:extLst>
        </c:ser>
        <c:ser>
          <c:idx val="1"/>
          <c:order val="1"/>
          <c:tx>
            <c:strRef>
              <c:f>Charts!$M$2</c:f>
              <c:strCache>
                <c:ptCount val="1"/>
                <c:pt idx="0">
                  <c:v>Water quality</c:v>
                </c:pt>
              </c:strCache>
            </c:strRef>
          </c:tx>
          <c:spPr>
            <a:solidFill>
              <a:schemeClr val="accent2"/>
            </a:solidFill>
            <a:ln>
              <a:noFill/>
            </a:ln>
            <a:effectLst/>
          </c:spPr>
          <c:invertIfNegative val="0"/>
          <c:cat>
            <c:strRef>
              <c:f>Charts!$D$3:$E$36</c:f>
              <c:strCach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strCache>
            </c:strRef>
          </c:cat>
          <c:val>
            <c:numRef>
              <c:f>Charts!$M$3:$M$36</c:f>
              <c:numCache>
                <c:formatCode>0%</c:formatCode>
                <c:ptCount val="34"/>
                <c:pt idx="0">
                  <c:v>0.12698412698412698</c:v>
                </c:pt>
                <c:pt idx="1">
                  <c:v>0.12698412698412698</c:v>
                </c:pt>
                <c:pt idx="2">
                  <c:v>0.22535211267605634</c:v>
                </c:pt>
                <c:pt idx="3">
                  <c:v>0.26229508196721313</c:v>
                </c:pt>
                <c:pt idx="4">
                  <c:v>0.22535211267605634</c:v>
                </c:pt>
                <c:pt idx="5">
                  <c:v>0.23880597014925373</c:v>
                </c:pt>
                <c:pt idx="6">
                  <c:v>0.24615384615384617</c:v>
                </c:pt>
                <c:pt idx="7">
                  <c:v>0.25396825396825395</c:v>
                </c:pt>
                <c:pt idx="8">
                  <c:v>0.22535211267605634</c:v>
                </c:pt>
                <c:pt idx="9">
                  <c:v>0.21917808219178081</c:v>
                </c:pt>
                <c:pt idx="10">
                  <c:v>0.26229508196721313</c:v>
                </c:pt>
                <c:pt idx="11">
                  <c:v>0.24615384615384617</c:v>
                </c:pt>
                <c:pt idx="12">
                  <c:v>0.13559322033898305</c:v>
                </c:pt>
                <c:pt idx="13">
                  <c:v>0.13559322033898305</c:v>
                </c:pt>
                <c:pt idx="14">
                  <c:v>0.12307692307692308</c:v>
                </c:pt>
                <c:pt idx="15">
                  <c:v>0.2711864406779661</c:v>
                </c:pt>
                <c:pt idx="16">
                  <c:v>0.23880597014925373</c:v>
                </c:pt>
                <c:pt idx="17">
                  <c:v>0.23880597014925373</c:v>
                </c:pt>
                <c:pt idx="18">
                  <c:v>0.22535211267605634</c:v>
                </c:pt>
                <c:pt idx="19">
                  <c:v>0.23880597014925373</c:v>
                </c:pt>
                <c:pt idx="20">
                  <c:v>0.23880597014925373</c:v>
                </c:pt>
                <c:pt idx="21">
                  <c:v>0.23880597014925373</c:v>
                </c:pt>
                <c:pt idx="22">
                  <c:v>0.26229508196721313</c:v>
                </c:pt>
                <c:pt idx="23">
                  <c:v>0.25396825396825395</c:v>
                </c:pt>
                <c:pt idx="24">
                  <c:v>0.25396825396825395</c:v>
                </c:pt>
                <c:pt idx="25">
                  <c:v>0.25396825396825395</c:v>
                </c:pt>
                <c:pt idx="26">
                  <c:v>0.12307692307692308</c:v>
                </c:pt>
                <c:pt idx="27">
                  <c:v>0.13559322033898305</c:v>
                </c:pt>
                <c:pt idx="28">
                  <c:v>0.13559322033898305</c:v>
                </c:pt>
                <c:pt idx="29">
                  <c:v>0.26229508196721313</c:v>
                </c:pt>
                <c:pt idx="30">
                  <c:v>0.26229508196721313</c:v>
                </c:pt>
                <c:pt idx="31">
                  <c:v>0.13559322033898305</c:v>
                </c:pt>
                <c:pt idx="32">
                  <c:v>0.15094339622641509</c:v>
                </c:pt>
                <c:pt idx="33">
                  <c:v>0.30188679245283018</c:v>
                </c:pt>
              </c:numCache>
            </c:numRef>
          </c:val>
          <c:extLst>
            <c:ext xmlns:c16="http://schemas.microsoft.com/office/drawing/2014/chart" uri="{C3380CC4-5D6E-409C-BE32-E72D297353CC}">
              <c16:uniqueId val="{00000001-2505-4A70-8351-02C18CDB8CF8}"/>
            </c:ext>
          </c:extLst>
        </c:ser>
        <c:ser>
          <c:idx val="2"/>
          <c:order val="2"/>
          <c:tx>
            <c:strRef>
              <c:f>Charts!$N$2</c:f>
              <c:strCache>
                <c:ptCount val="1"/>
                <c:pt idx="0">
                  <c:v>Ecosystems</c:v>
                </c:pt>
              </c:strCache>
            </c:strRef>
          </c:tx>
          <c:spPr>
            <a:solidFill>
              <a:schemeClr val="accent6"/>
            </a:solidFill>
            <a:ln>
              <a:noFill/>
            </a:ln>
            <a:effectLst/>
          </c:spPr>
          <c:invertIfNegative val="0"/>
          <c:cat>
            <c:strRef>
              <c:f>Charts!$D$3:$E$36</c:f>
              <c:strCach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strCache>
            </c:strRef>
          </c:cat>
          <c:val>
            <c:numRef>
              <c:f>Charts!$N$3:$N$36</c:f>
              <c:numCache>
                <c:formatCode>0%</c:formatCode>
                <c:ptCount val="34"/>
                <c:pt idx="0">
                  <c:v>0.19047619047619047</c:v>
                </c:pt>
                <c:pt idx="1">
                  <c:v>0.19047619047619047</c:v>
                </c:pt>
                <c:pt idx="2">
                  <c:v>0.16901408450704225</c:v>
                </c:pt>
                <c:pt idx="3">
                  <c:v>6.5573770491803282E-2</c:v>
                </c:pt>
                <c:pt idx="4">
                  <c:v>0.16901408450704225</c:v>
                </c:pt>
                <c:pt idx="5">
                  <c:v>0.17910447761194029</c:v>
                </c:pt>
                <c:pt idx="6">
                  <c:v>6.1538461538461542E-2</c:v>
                </c:pt>
                <c:pt idx="7">
                  <c:v>0.19047619047619047</c:v>
                </c:pt>
                <c:pt idx="8">
                  <c:v>0.16901408450704225</c:v>
                </c:pt>
                <c:pt idx="9">
                  <c:v>0.16438356164383561</c:v>
                </c:pt>
                <c:pt idx="10">
                  <c:v>6.5573770491803282E-2</c:v>
                </c:pt>
                <c:pt idx="11">
                  <c:v>6.1538461538461542E-2</c:v>
                </c:pt>
                <c:pt idx="12">
                  <c:v>0.20338983050847459</c:v>
                </c:pt>
                <c:pt idx="13">
                  <c:v>0.20338983050847459</c:v>
                </c:pt>
                <c:pt idx="14">
                  <c:v>0.18461538461538463</c:v>
                </c:pt>
                <c:pt idx="15">
                  <c:v>6.7796610169491525E-2</c:v>
                </c:pt>
                <c:pt idx="16">
                  <c:v>0.17910447761194029</c:v>
                </c:pt>
                <c:pt idx="17">
                  <c:v>0.17910447761194029</c:v>
                </c:pt>
                <c:pt idx="18">
                  <c:v>0.16901408450704225</c:v>
                </c:pt>
                <c:pt idx="19">
                  <c:v>0.17910447761194029</c:v>
                </c:pt>
                <c:pt idx="20">
                  <c:v>0.17910447761194029</c:v>
                </c:pt>
                <c:pt idx="21">
                  <c:v>0.17910447761194029</c:v>
                </c:pt>
                <c:pt idx="22">
                  <c:v>6.5573770491803282E-2</c:v>
                </c:pt>
                <c:pt idx="23">
                  <c:v>6.3492063492063489E-2</c:v>
                </c:pt>
                <c:pt idx="24">
                  <c:v>6.3492063492063489E-2</c:v>
                </c:pt>
                <c:pt idx="25">
                  <c:v>6.3492063492063489E-2</c:v>
                </c:pt>
                <c:pt idx="26">
                  <c:v>0.18461538461538463</c:v>
                </c:pt>
                <c:pt idx="27">
                  <c:v>0.20338983050847459</c:v>
                </c:pt>
                <c:pt idx="28">
                  <c:v>0.20338983050847459</c:v>
                </c:pt>
                <c:pt idx="29">
                  <c:v>6.5573770491803282E-2</c:v>
                </c:pt>
                <c:pt idx="30">
                  <c:v>6.5573770491803282E-2</c:v>
                </c:pt>
                <c:pt idx="31">
                  <c:v>0.20338983050847459</c:v>
                </c:pt>
                <c:pt idx="32">
                  <c:v>0.22641509433962265</c:v>
                </c:pt>
                <c:pt idx="33">
                  <c:v>7.5471698113207544E-2</c:v>
                </c:pt>
              </c:numCache>
            </c:numRef>
          </c:val>
          <c:extLst>
            <c:ext xmlns:c16="http://schemas.microsoft.com/office/drawing/2014/chart" uri="{C3380CC4-5D6E-409C-BE32-E72D297353CC}">
              <c16:uniqueId val="{00000002-2505-4A70-8351-02C18CDB8CF8}"/>
            </c:ext>
          </c:extLst>
        </c:ser>
        <c:ser>
          <c:idx val="3"/>
          <c:order val="3"/>
          <c:tx>
            <c:strRef>
              <c:f>Charts!$O$2</c:f>
              <c:strCache>
                <c:ptCount val="1"/>
                <c:pt idx="0">
                  <c:v>WASH</c:v>
                </c:pt>
              </c:strCache>
            </c:strRef>
          </c:tx>
          <c:spPr>
            <a:solidFill>
              <a:schemeClr val="accent4"/>
            </a:solidFill>
            <a:ln>
              <a:noFill/>
            </a:ln>
            <a:effectLst/>
          </c:spPr>
          <c:invertIfNegative val="0"/>
          <c:cat>
            <c:strRef>
              <c:f>Charts!$D$3:$E$36</c:f>
              <c:strCach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strCache>
            </c:strRef>
          </c:cat>
          <c:val>
            <c:numRef>
              <c:f>Charts!$O$3:$O$36</c:f>
              <c:numCache>
                <c:formatCode>0%</c:formatCode>
                <c:ptCount val="34"/>
                <c:pt idx="0">
                  <c:v>7.9365079365079361E-2</c:v>
                </c:pt>
                <c:pt idx="1">
                  <c:v>7.9365079365079361E-2</c:v>
                </c:pt>
                <c:pt idx="2">
                  <c:v>7.0422535211267609E-2</c:v>
                </c:pt>
                <c:pt idx="3">
                  <c:v>0.11475409836065574</c:v>
                </c:pt>
                <c:pt idx="4">
                  <c:v>7.0422535211267609E-2</c:v>
                </c:pt>
                <c:pt idx="5">
                  <c:v>7.4626865671641784E-2</c:v>
                </c:pt>
                <c:pt idx="6">
                  <c:v>0.1076923076923077</c:v>
                </c:pt>
                <c:pt idx="7">
                  <c:v>7.9365079365079361E-2</c:v>
                </c:pt>
                <c:pt idx="8">
                  <c:v>7.0422535211267609E-2</c:v>
                </c:pt>
                <c:pt idx="9">
                  <c:v>9.5890410958904104E-2</c:v>
                </c:pt>
                <c:pt idx="10">
                  <c:v>0.11475409836065574</c:v>
                </c:pt>
                <c:pt idx="11">
                  <c:v>0.1076923076923077</c:v>
                </c:pt>
                <c:pt idx="12">
                  <c:v>8.4745762711864403E-2</c:v>
                </c:pt>
                <c:pt idx="13">
                  <c:v>8.4745762711864403E-2</c:v>
                </c:pt>
                <c:pt idx="14">
                  <c:v>0.1076923076923077</c:v>
                </c:pt>
                <c:pt idx="15">
                  <c:v>8.4745762711864403E-2</c:v>
                </c:pt>
                <c:pt idx="16">
                  <c:v>7.4626865671641784E-2</c:v>
                </c:pt>
                <c:pt idx="17">
                  <c:v>7.4626865671641784E-2</c:v>
                </c:pt>
                <c:pt idx="18">
                  <c:v>7.0422535211267609E-2</c:v>
                </c:pt>
                <c:pt idx="19">
                  <c:v>7.4626865671641784E-2</c:v>
                </c:pt>
                <c:pt idx="20">
                  <c:v>7.4626865671641784E-2</c:v>
                </c:pt>
                <c:pt idx="21">
                  <c:v>7.4626865671641784E-2</c:v>
                </c:pt>
                <c:pt idx="22">
                  <c:v>0.11475409836065574</c:v>
                </c:pt>
                <c:pt idx="23">
                  <c:v>7.9365079365079361E-2</c:v>
                </c:pt>
                <c:pt idx="24">
                  <c:v>7.9365079365079361E-2</c:v>
                </c:pt>
                <c:pt idx="25">
                  <c:v>7.9365079365079361E-2</c:v>
                </c:pt>
                <c:pt idx="26">
                  <c:v>0.1076923076923077</c:v>
                </c:pt>
                <c:pt idx="27">
                  <c:v>8.4745762711864403E-2</c:v>
                </c:pt>
                <c:pt idx="28">
                  <c:v>8.4745762711864403E-2</c:v>
                </c:pt>
                <c:pt idx="29">
                  <c:v>0.11475409836065574</c:v>
                </c:pt>
                <c:pt idx="30">
                  <c:v>0.11475409836065574</c:v>
                </c:pt>
                <c:pt idx="31">
                  <c:v>8.4745762711864403E-2</c:v>
                </c:pt>
                <c:pt idx="32">
                  <c:v>9.4339622641509441E-2</c:v>
                </c:pt>
                <c:pt idx="33">
                  <c:v>9.4339622641509441E-2</c:v>
                </c:pt>
              </c:numCache>
            </c:numRef>
          </c:val>
          <c:extLst>
            <c:ext xmlns:c16="http://schemas.microsoft.com/office/drawing/2014/chart" uri="{C3380CC4-5D6E-409C-BE32-E72D297353CC}">
              <c16:uniqueId val="{00000003-2505-4A70-8351-02C18CDB8CF8}"/>
            </c:ext>
          </c:extLst>
        </c:ser>
        <c:ser>
          <c:idx val="4"/>
          <c:order val="4"/>
          <c:tx>
            <c:strRef>
              <c:f>Charts!$P$2</c:f>
              <c:strCache>
                <c:ptCount val="1"/>
                <c:pt idx="0">
                  <c:v>Extreme events</c:v>
                </c:pt>
              </c:strCache>
            </c:strRef>
          </c:tx>
          <c:spPr>
            <a:solidFill>
              <a:schemeClr val="accent3"/>
            </a:solidFill>
            <a:ln>
              <a:noFill/>
            </a:ln>
            <a:effectLst/>
          </c:spPr>
          <c:invertIfNegative val="0"/>
          <c:cat>
            <c:strRef>
              <c:f>Charts!$D$3:$E$36</c:f>
              <c:strCach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strCache>
            </c:strRef>
          </c:cat>
          <c:val>
            <c:numRef>
              <c:f>Charts!$P$3:$P$36</c:f>
              <c:numCache>
                <c:formatCode>0%</c:formatCode>
                <c:ptCount val="34"/>
                <c:pt idx="0">
                  <c:v>0.22222222222222221</c:v>
                </c:pt>
                <c:pt idx="1">
                  <c:v>0.22222222222222221</c:v>
                </c:pt>
                <c:pt idx="2">
                  <c:v>0.19718309859154928</c:v>
                </c:pt>
                <c:pt idx="3">
                  <c:v>0.16393442622950818</c:v>
                </c:pt>
                <c:pt idx="4">
                  <c:v>0.19718309859154928</c:v>
                </c:pt>
                <c:pt idx="5">
                  <c:v>0.14925373134328357</c:v>
                </c:pt>
                <c:pt idx="6">
                  <c:v>0.2153846153846154</c:v>
                </c:pt>
                <c:pt idx="7">
                  <c:v>0.15873015873015872</c:v>
                </c:pt>
                <c:pt idx="8">
                  <c:v>0.19718309859154928</c:v>
                </c:pt>
                <c:pt idx="9">
                  <c:v>0.19178082191780821</c:v>
                </c:pt>
                <c:pt idx="10">
                  <c:v>0.16393442622950818</c:v>
                </c:pt>
                <c:pt idx="11">
                  <c:v>0.2153846153846154</c:v>
                </c:pt>
                <c:pt idx="12">
                  <c:v>0.16949152542372881</c:v>
                </c:pt>
                <c:pt idx="13">
                  <c:v>0.16949152542372881</c:v>
                </c:pt>
                <c:pt idx="14">
                  <c:v>0.2153846153846154</c:v>
                </c:pt>
                <c:pt idx="15">
                  <c:v>0.16949152542372881</c:v>
                </c:pt>
                <c:pt idx="16">
                  <c:v>0.20895522388059701</c:v>
                </c:pt>
                <c:pt idx="17">
                  <c:v>0.14925373134328357</c:v>
                </c:pt>
                <c:pt idx="18">
                  <c:v>0.19718309859154928</c:v>
                </c:pt>
                <c:pt idx="19">
                  <c:v>0.14925373134328357</c:v>
                </c:pt>
                <c:pt idx="20">
                  <c:v>0.14925373134328357</c:v>
                </c:pt>
                <c:pt idx="21">
                  <c:v>0.14925373134328357</c:v>
                </c:pt>
                <c:pt idx="22">
                  <c:v>0.16393442622950818</c:v>
                </c:pt>
                <c:pt idx="23">
                  <c:v>0.22222222222222221</c:v>
                </c:pt>
                <c:pt idx="24">
                  <c:v>0.22222222222222221</c:v>
                </c:pt>
                <c:pt idx="25">
                  <c:v>0.22222222222222221</c:v>
                </c:pt>
                <c:pt idx="26">
                  <c:v>0.2153846153846154</c:v>
                </c:pt>
                <c:pt idx="27">
                  <c:v>0.16949152542372881</c:v>
                </c:pt>
                <c:pt idx="28">
                  <c:v>0.16949152542372881</c:v>
                </c:pt>
                <c:pt idx="29">
                  <c:v>0.16393442622950818</c:v>
                </c:pt>
                <c:pt idx="30">
                  <c:v>0.16393442622950818</c:v>
                </c:pt>
                <c:pt idx="31">
                  <c:v>0.16949152542372881</c:v>
                </c:pt>
                <c:pt idx="32">
                  <c:v>0.18867924528301888</c:v>
                </c:pt>
                <c:pt idx="33">
                  <c:v>0.18867924528301888</c:v>
                </c:pt>
              </c:numCache>
            </c:numRef>
          </c:val>
          <c:extLst>
            <c:ext xmlns:c16="http://schemas.microsoft.com/office/drawing/2014/chart" uri="{C3380CC4-5D6E-409C-BE32-E72D297353CC}">
              <c16:uniqueId val="{00000004-2505-4A70-8351-02C18CDB8CF8}"/>
            </c:ext>
          </c:extLst>
        </c:ser>
        <c:ser>
          <c:idx val="5"/>
          <c:order val="5"/>
          <c:tx>
            <c:strRef>
              <c:f>Charts!$Q$2</c:f>
              <c:strCache>
                <c:ptCount val="1"/>
                <c:pt idx="0">
                  <c:v>Governance</c:v>
                </c:pt>
              </c:strCache>
            </c:strRef>
          </c:tx>
          <c:spPr>
            <a:solidFill>
              <a:srgbClr val="8C3FC5"/>
            </a:solidFill>
            <a:ln>
              <a:noFill/>
            </a:ln>
            <a:effectLst/>
          </c:spPr>
          <c:invertIfNegative val="0"/>
          <c:cat>
            <c:strRef>
              <c:f>Charts!$D$3:$E$36</c:f>
              <c:strCache>
                <c:ptCount val="3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strCache>
            </c:strRef>
          </c:cat>
          <c:val>
            <c:numRef>
              <c:f>Charts!$Q$3:$Q$36</c:f>
              <c:numCache>
                <c:formatCode>0%</c:formatCode>
                <c:ptCount val="34"/>
                <c:pt idx="0">
                  <c:v>0.15873015873015872</c:v>
                </c:pt>
                <c:pt idx="1">
                  <c:v>0.15873015873015872</c:v>
                </c:pt>
                <c:pt idx="2">
                  <c:v>0.14084507042253522</c:v>
                </c:pt>
                <c:pt idx="3">
                  <c:v>0.16393442622950818</c:v>
                </c:pt>
                <c:pt idx="4">
                  <c:v>0.14084507042253522</c:v>
                </c:pt>
                <c:pt idx="5">
                  <c:v>0.14925373134328357</c:v>
                </c:pt>
                <c:pt idx="6">
                  <c:v>0.15384615384615385</c:v>
                </c:pt>
                <c:pt idx="7">
                  <c:v>0.15873015873015872</c:v>
                </c:pt>
                <c:pt idx="8">
                  <c:v>0.14084507042253522</c:v>
                </c:pt>
                <c:pt idx="9">
                  <c:v>0.13698630136986301</c:v>
                </c:pt>
                <c:pt idx="10">
                  <c:v>0.16393442622950818</c:v>
                </c:pt>
                <c:pt idx="11">
                  <c:v>0.15384615384615385</c:v>
                </c:pt>
                <c:pt idx="12">
                  <c:v>0.16949152542372881</c:v>
                </c:pt>
                <c:pt idx="13">
                  <c:v>0.16949152542372881</c:v>
                </c:pt>
                <c:pt idx="14">
                  <c:v>0.15384615384615385</c:v>
                </c:pt>
                <c:pt idx="15">
                  <c:v>0.16949152542372881</c:v>
                </c:pt>
                <c:pt idx="16">
                  <c:v>0.14925373134328357</c:v>
                </c:pt>
                <c:pt idx="17">
                  <c:v>0.14925373134328357</c:v>
                </c:pt>
                <c:pt idx="18">
                  <c:v>0.14084507042253522</c:v>
                </c:pt>
                <c:pt idx="19">
                  <c:v>0.14925373134328357</c:v>
                </c:pt>
                <c:pt idx="20">
                  <c:v>0.14925373134328357</c:v>
                </c:pt>
                <c:pt idx="21">
                  <c:v>0.14925373134328357</c:v>
                </c:pt>
                <c:pt idx="22">
                  <c:v>0.16393442622950818</c:v>
                </c:pt>
                <c:pt idx="23">
                  <c:v>0.15873015873015872</c:v>
                </c:pt>
                <c:pt idx="24">
                  <c:v>0.15873015873015872</c:v>
                </c:pt>
                <c:pt idx="25">
                  <c:v>0.15873015873015872</c:v>
                </c:pt>
                <c:pt idx="26">
                  <c:v>0.15384615384615385</c:v>
                </c:pt>
                <c:pt idx="27">
                  <c:v>0.16949152542372881</c:v>
                </c:pt>
                <c:pt idx="28">
                  <c:v>0.16949152542372881</c:v>
                </c:pt>
                <c:pt idx="29">
                  <c:v>0.16393442622950818</c:v>
                </c:pt>
                <c:pt idx="30">
                  <c:v>0.16393442622950818</c:v>
                </c:pt>
                <c:pt idx="31">
                  <c:v>0.16949152542372881</c:v>
                </c:pt>
                <c:pt idx="32">
                  <c:v>0.18867924528301888</c:v>
                </c:pt>
                <c:pt idx="33">
                  <c:v>0.18867924528301888</c:v>
                </c:pt>
              </c:numCache>
            </c:numRef>
          </c:val>
          <c:extLst>
            <c:ext xmlns:c16="http://schemas.microsoft.com/office/drawing/2014/chart" uri="{C3380CC4-5D6E-409C-BE32-E72D297353CC}">
              <c16:uniqueId val="{00000000-4FF2-4EB9-A236-85D39169DDDC}"/>
            </c:ext>
          </c:extLst>
        </c:ser>
        <c:dLbls>
          <c:showLegendKey val="0"/>
          <c:showVal val="0"/>
          <c:showCatName val="0"/>
          <c:showSerName val="0"/>
          <c:showPercent val="0"/>
          <c:showBubbleSize val="0"/>
        </c:dLbls>
        <c:gapWidth val="150"/>
        <c:overlap val="100"/>
        <c:axId val="-2129313576"/>
        <c:axId val="2132591016"/>
      </c:barChart>
      <c:catAx>
        <c:axId val="-2129313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32591016"/>
        <c:crosses val="autoZero"/>
        <c:auto val="1"/>
        <c:lblAlgn val="ctr"/>
        <c:lblOffset val="100"/>
        <c:noMultiLvlLbl val="0"/>
      </c:catAx>
      <c:valAx>
        <c:axId val="213259101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9313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638174</xdr:colOff>
      <xdr:row>37</xdr:row>
      <xdr:rowOff>100012</xdr:rowOff>
    </xdr:from>
    <xdr:to>
      <xdr:col>15</xdr:col>
      <xdr:colOff>219074</xdr:colOff>
      <xdr:row>66</xdr:row>
      <xdr:rowOff>76200</xdr:rowOff>
    </xdr:to>
    <xdr:graphicFrame macro="">
      <xdr:nvGraphicFramePr>
        <xdr:cNvPr id="2" name="Chart 1">
          <a:extLst>
            <a:ext uri="{FF2B5EF4-FFF2-40B4-BE49-F238E27FC236}">
              <a16:creationId xmlns:a16="http://schemas.microsoft.com/office/drawing/2014/main" id="{CB9E9DC8-9DA3-4646-9E3C-2B2D6568EAE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676275</xdr:colOff>
      <xdr:row>67</xdr:row>
      <xdr:rowOff>23812</xdr:rowOff>
    </xdr:from>
    <xdr:to>
      <xdr:col>15</xdr:col>
      <xdr:colOff>409575</xdr:colOff>
      <xdr:row>90</xdr:row>
      <xdr:rowOff>9526</xdr:rowOff>
    </xdr:to>
    <xdr:graphicFrame macro="">
      <xdr:nvGraphicFramePr>
        <xdr:cNvPr id="3" name="Chart 2">
          <a:extLst>
            <a:ext uri="{FF2B5EF4-FFF2-40B4-BE49-F238E27FC236}">
              <a16:creationId xmlns:a16="http://schemas.microsoft.com/office/drawing/2014/main" id="{6B5A0AFD-EA15-49FC-88BB-5ACBA864F84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742950</xdr:colOff>
      <xdr:row>92</xdr:row>
      <xdr:rowOff>4762</xdr:rowOff>
    </xdr:from>
    <xdr:to>
      <xdr:col>15</xdr:col>
      <xdr:colOff>190500</xdr:colOff>
      <xdr:row>110</xdr:row>
      <xdr:rowOff>19050</xdr:rowOff>
    </xdr:to>
    <xdr:graphicFrame macro="">
      <xdr:nvGraphicFramePr>
        <xdr:cNvPr id="6" name="Chart 5">
          <a:extLst>
            <a:ext uri="{FF2B5EF4-FFF2-40B4-BE49-F238E27FC236}">
              <a16:creationId xmlns:a16="http://schemas.microsoft.com/office/drawing/2014/main" id="{E00C2568-E7B8-4D92-A81C-C728D3314A9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723899</xdr:colOff>
      <xdr:row>111</xdr:row>
      <xdr:rowOff>80961</xdr:rowOff>
    </xdr:from>
    <xdr:to>
      <xdr:col>15</xdr:col>
      <xdr:colOff>66674</xdr:colOff>
      <xdr:row>131</xdr:row>
      <xdr:rowOff>28574</xdr:rowOff>
    </xdr:to>
    <xdr:graphicFrame macro="">
      <xdr:nvGraphicFramePr>
        <xdr:cNvPr id="7" name="Chart 6">
          <a:extLst>
            <a:ext uri="{FF2B5EF4-FFF2-40B4-BE49-F238E27FC236}">
              <a16:creationId xmlns:a16="http://schemas.microsoft.com/office/drawing/2014/main" id="{20D1B24D-7713-43BE-ABC7-67886ED1AF3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Sonali Abraham" id="{6E7ED98C-59B4-4152-93B3-CA16175CF533}" userId="Sonali Abraham" providerId="Non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S35" totalsRowShown="0" headerRowDxfId="2">
  <autoFilter ref="A1:S35" xr:uid="{00000000-0009-0000-0100-000001000000}"/>
  <tableColumns count="19">
    <tableColumn id="1" xr3:uid="{00000000-0010-0000-0000-000001000000}" name="Company"/>
    <tableColumn id="2" xr3:uid="{00000000-0010-0000-0000-000002000000}" name="Type"/>
    <tableColumn id="3" xr3:uid="{00000000-0010-0000-0000-000003000000}" name="Full Address"/>
    <tableColumn id="4" xr3:uid="{00000000-0010-0000-0000-000004000000}" name="County"/>
    <tableColumn id="5" xr3:uid="{00000000-0010-0000-0000-000005000000}" name="Water Retailer"/>
    <tableColumn id="6" xr3:uid="{00000000-0010-0000-0000-000006000000}" name="System 2 (if applicable)"/>
    <tableColumn id="7" xr3:uid="{00000000-0010-0000-0000-000007000000}" name="Wholesaler (if applicable)"/>
    <tableColumn id="8" xr3:uid="{00000000-0010-0000-0000-000008000000}" name="Water Quality Impaired (WQI)"/>
    <tableColumn id="9" xr3:uid="{00000000-0010-0000-0000-000009000000}" name="Flood Risk (FR)"/>
    <tableColumn id="10" xr3:uid="{00000000-0010-0000-0000-00000A000000}" name="DAC?"/>
    <tableColumn id="11" xr3:uid="{00000000-0010-0000-0000-00000B000000}" name="Turf area (*response metric)"/>
    <tableColumn id="12" xr3:uid="{00000000-0010-0000-0000-00000C000000}" name="System GPCD (July 2017)"/>
    <tableColumn id="13" xr3:uid="{00000000-0010-0000-0000-00000D000000}" name="Residential GPCD (July 2017)"/>
    <tableColumn id="14" xr3:uid="{00000000-0010-0000-0000-00000E000000}" name="% of GPCD Non-Res"/>
    <tableColumn id="15" xr3:uid="{00000000-0010-0000-0000-00000F000000}" name="CalEnviroScreen Drinking Water Percentile (avg for zip code) (DWP)"/>
    <tableColumn id="16" xr3:uid="{00000000-0010-0000-0000-000010000000}" name="CA Stream Condition Index"/>
    <tableColumn id="17" xr3:uid="{00000000-0010-0000-0000-000011000000}" name="Imported water % of water retailer (2015 UWMP)"/>
    <tableColumn id="18" xr3:uid="{00000000-0010-0000-0000-000012000000}" name="Toilet access?" dataDxfId="1">
      <calculatedColumnFormula>(M2+O2)/L2</calculatedColumnFormula>
    </tableColumn>
    <tableColumn id="19" xr3:uid="{00000000-0010-0000-0000-000013000000}" name="Hot/cold water?" dataDxfId="0">
      <calculatedColumnFormula>(M2+P2)/L2</calculatedColumnFormula>
    </tableColumn>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25" dT="2019-04-12T22:16:33.73" personId="{6E7ED98C-59B4-4152-93B3-CA16175CF533}" id="{DBF9625F-61FC-4B85-80DC-CA63FB8DE91C}">
    <text>This was originally zero people with marginal access is a green light- changed to less than 15000 for purposes of scoring</text>
  </threadedComment>
  <threadedComment ref="G29" dT="2019-04-12T22:16:33.73" personId="{6E7ED98C-59B4-4152-93B3-CA16175CF533}" id="{D3E373A9-BCE8-4E35-9D71-5FFB2E1D4D58}">
    <text>This was originally zero people with marginal access is a green light- changed to less than 15000 for purposes of scoring</text>
  </threadedComment>
</ThreadedComment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
  <sheetViews>
    <sheetView zoomScale="80" zoomScaleNormal="80" zoomScalePageLayoutView="80" workbookViewId="0">
      <selection activeCell="B14" sqref="B14:B15"/>
    </sheetView>
  </sheetViews>
  <sheetFormatPr defaultColWidth="8.83984375" defaultRowHeight="14.4" x14ac:dyDescent="0.55000000000000004"/>
  <cols>
    <col min="1" max="1" width="33.83984375" customWidth="1"/>
    <col min="2" max="2" width="50.41796875" customWidth="1"/>
    <col min="3" max="5" width="33.83984375" customWidth="1"/>
  </cols>
  <sheetData>
    <row r="1" spans="1:5" ht="72" x14ac:dyDescent="0.55000000000000004">
      <c r="A1" s="8" t="s">
        <v>125</v>
      </c>
      <c r="B1" s="9" t="s">
        <v>126</v>
      </c>
      <c r="C1" s="23" t="s">
        <v>155</v>
      </c>
      <c r="D1" s="9" t="s">
        <v>170</v>
      </c>
      <c r="E1" s="10" t="s">
        <v>156</v>
      </c>
    </row>
    <row r="2" spans="1:5" x14ac:dyDescent="0.55000000000000004">
      <c r="A2" s="45" t="s">
        <v>157</v>
      </c>
      <c r="B2" s="11" t="s">
        <v>171</v>
      </c>
      <c r="C2" s="24"/>
      <c r="D2" s="12" t="s">
        <v>158</v>
      </c>
      <c r="E2" s="13" t="s">
        <v>158</v>
      </c>
    </row>
    <row r="3" spans="1:5" ht="28.8" x14ac:dyDescent="0.55000000000000004">
      <c r="A3" s="7" t="s">
        <v>157</v>
      </c>
      <c r="B3" s="14" t="s">
        <v>159</v>
      </c>
      <c r="C3" s="25" t="s">
        <v>158</v>
      </c>
      <c r="D3" s="15" t="s">
        <v>158</v>
      </c>
      <c r="E3" s="16" t="s">
        <v>158</v>
      </c>
    </row>
    <row r="4" spans="1:5" x14ac:dyDescent="0.55000000000000004">
      <c r="A4" s="7" t="s">
        <v>160</v>
      </c>
      <c r="B4" s="14" t="s">
        <v>161</v>
      </c>
      <c r="C4" s="25" t="s">
        <v>158</v>
      </c>
      <c r="D4" s="15" t="s">
        <v>158</v>
      </c>
      <c r="E4" s="16" t="s">
        <v>158</v>
      </c>
    </row>
    <row r="5" spans="1:5" x14ac:dyDescent="0.55000000000000004">
      <c r="A5" s="5" t="s">
        <v>130</v>
      </c>
      <c r="B5" s="11" t="s">
        <v>162</v>
      </c>
      <c r="C5" s="24" t="s">
        <v>158</v>
      </c>
      <c r="D5" s="12"/>
      <c r="E5" s="13"/>
    </row>
    <row r="6" spans="1:5" x14ac:dyDescent="0.55000000000000004">
      <c r="A6" s="6" t="s">
        <v>130</v>
      </c>
      <c r="B6" s="22" t="s">
        <v>168</v>
      </c>
      <c r="C6" s="27" t="s">
        <v>158</v>
      </c>
      <c r="D6" s="20" t="s">
        <v>158</v>
      </c>
      <c r="E6" s="21" t="s">
        <v>158</v>
      </c>
    </row>
    <row r="7" spans="1:5" x14ac:dyDescent="0.55000000000000004">
      <c r="A7" s="6" t="s">
        <v>130</v>
      </c>
      <c r="B7" s="22" t="s">
        <v>169</v>
      </c>
      <c r="C7" s="27" t="s">
        <v>158</v>
      </c>
      <c r="D7" s="20" t="s">
        <v>158</v>
      </c>
      <c r="E7" s="21" t="s">
        <v>158</v>
      </c>
    </row>
    <row r="8" spans="1:5" x14ac:dyDescent="0.55000000000000004">
      <c r="A8" s="7" t="s">
        <v>130</v>
      </c>
      <c r="B8" s="14" t="s">
        <v>176</v>
      </c>
      <c r="C8" s="25" t="s">
        <v>158</v>
      </c>
      <c r="D8" s="15" t="s">
        <v>158</v>
      </c>
      <c r="E8" s="16" t="s">
        <v>158</v>
      </c>
    </row>
    <row r="9" spans="1:5" ht="28.8" x14ac:dyDescent="0.55000000000000004">
      <c r="A9" s="6" t="s">
        <v>163</v>
      </c>
      <c r="B9" s="17" t="s">
        <v>164</v>
      </c>
      <c r="C9" s="26" t="s">
        <v>158</v>
      </c>
      <c r="D9" s="33" t="s">
        <v>177</v>
      </c>
      <c r="E9" s="19" t="s">
        <v>158</v>
      </c>
    </row>
    <row r="10" spans="1:5" ht="28.8" x14ac:dyDescent="0.55000000000000004">
      <c r="A10" s="6" t="s">
        <v>163</v>
      </c>
      <c r="B10" s="17" t="s">
        <v>172</v>
      </c>
      <c r="C10" s="26"/>
      <c r="D10" s="18"/>
      <c r="E10" s="19"/>
    </row>
    <row r="11" spans="1:5" x14ac:dyDescent="0.55000000000000004">
      <c r="A11" s="46" t="s">
        <v>163</v>
      </c>
      <c r="B11" s="17" t="s">
        <v>165</v>
      </c>
      <c r="C11" s="26"/>
      <c r="D11" s="18" t="s">
        <v>158</v>
      </c>
      <c r="E11" s="19" t="s">
        <v>158</v>
      </c>
    </row>
    <row r="12" spans="1:5" ht="100.8" x14ac:dyDescent="0.55000000000000004">
      <c r="A12" s="6" t="s">
        <v>163</v>
      </c>
      <c r="B12" s="17" t="s">
        <v>166</v>
      </c>
      <c r="C12" s="26" t="s">
        <v>158</v>
      </c>
      <c r="D12" s="18" t="s">
        <v>158</v>
      </c>
      <c r="E12" s="19"/>
    </row>
    <row r="13" spans="1:5" x14ac:dyDescent="0.55000000000000004">
      <c r="A13" s="5" t="s">
        <v>132</v>
      </c>
      <c r="B13" s="11" t="s">
        <v>175</v>
      </c>
      <c r="C13" s="24" t="s">
        <v>158</v>
      </c>
      <c r="D13" s="12" t="s">
        <v>158</v>
      </c>
      <c r="E13" s="13" t="s">
        <v>158</v>
      </c>
    </row>
    <row r="14" spans="1:5" x14ac:dyDescent="0.55000000000000004">
      <c r="A14" s="45" t="s">
        <v>167</v>
      </c>
      <c r="B14" s="28" t="s">
        <v>173</v>
      </c>
      <c r="C14" s="24"/>
      <c r="D14" s="12" t="s">
        <v>158</v>
      </c>
      <c r="E14" s="13" t="s">
        <v>158</v>
      </c>
    </row>
    <row r="15" spans="1:5" x14ac:dyDescent="0.55000000000000004">
      <c r="A15" s="47" t="s">
        <v>167</v>
      </c>
      <c r="B15" s="29" t="s">
        <v>174</v>
      </c>
      <c r="C15" s="30"/>
      <c r="D15" s="31" t="s">
        <v>158</v>
      </c>
      <c r="E15" s="32" t="s">
        <v>158</v>
      </c>
    </row>
  </sheetData>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L43"/>
  <sheetViews>
    <sheetView topLeftCell="C1" zoomScale="110" zoomScaleNormal="110" zoomScalePageLayoutView="125" workbookViewId="0">
      <selection activeCell="G25" sqref="G25"/>
    </sheetView>
  </sheetViews>
  <sheetFormatPr defaultColWidth="8.83984375" defaultRowHeight="14.4" x14ac:dyDescent="0.55000000000000004"/>
  <cols>
    <col min="2" max="2" width="15.83984375" bestFit="1" customWidth="1"/>
    <col min="3" max="3" width="14.41796875" bestFit="1" customWidth="1"/>
    <col min="4" max="4" width="29.41796875" style="1" customWidth="1"/>
    <col min="5" max="5" width="13.83984375" customWidth="1"/>
    <col min="6" max="6" width="9.15625" style="2" customWidth="1"/>
    <col min="7" max="7" width="69.83984375" customWidth="1"/>
    <col min="10" max="10" width="16" customWidth="1"/>
    <col min="11" max="11" width="17" customWidth="1"/>
  </cols>
  <sheetData>
    <row r="1" spans="2:12" x14ac:dyDescent="0.55000000000000004">
      <c r="B1" s="37" t="s">
        <v>125</v>
      </c>
      <c r="C1" s="38" t="s">
        <v>127</v>
      </c>
      <c r="D1" s="9" t="s">
        <v>126</v>
      </c>
      <c r="E1" s="38" t="s">
        <v>139</v>
      </c>
      <c r="F1" s="162" t="s">
        <v>154</v>
      </c>
      <c r="G1" s="162"/>
    </row>
    <row r="2" spans="2:12" ht="22.5" customHeight="1" x14ac:dyDescent="0.55000000000000004">
      <c r="B2" s="137" t="s">
        <v>131</v>
      </c>
      <c r="C2" s="138" t="s">
        <v>204</v>
      </c>
      <c r="D2" s="139" t="s">
        <v>171</v>
      </c>
      <c r="E2" s="146" t="s">
        <v>218</v>
      </c>
      <c r="F2" s="119">
        <v>4</v>
      </c>
      <c r="G2" s="143" t="s">
        <v>210</v>
      </c>
      <c r="J2" s="3" t="s">
        <v>234</v>
      </c>
      <c r="K2" s="3" t="s">
        <v>235</v>
      </c>
      <c r="L2" s="3" t="s">
        <v>236</v>
      </c>
    </row>
    <row r="3" spans="2:12" x14ac:dyDescent="0.55000000000000004">
      <c r="B3" s="96"/>
      <c r="C3" s="96"/>
      <c r="D3" s="97"/>
      <c r="E3" s="95"/>
      <c r="F3" s="119">
        <v>3</v>
      </c>
      <c r="G3" s="144" t="s">
        <v>211</v>
      </c>
      <c r="J3" s="137" t="s">
        <v>131</v>
      </c>
      <c r="K3">
        <f>COUNTIF($B$2:$B$43, "Water quantity")</f>
        <v>2</v>
      </c>
      <c r="L3">
        <f>1/K3</f>
        <v>0.5</v>
      </c>
    </row>
    <row r="4" spans="2:12" x14ac:dyDescent="0.55000000000000004">
      <c r="B4" s="96"/>
      <c r="C4" s="96"/>
      <c r="D4" s="97"/>
      <c r="E4" s="95"/>
      <c r="F4" s="119">
        <v>2</v>
      </c>
      <c r="G4" s="144" t="s">
        <v>212</v>
      </c>
      <c r="J4" s="87" t="s">
        <v>128</v>
      </c>
      <c r="K4">
        <f>COUNTIF($B$2:$B$43, "Water quality")</f>
        <v>1</v>
      </c>
      <c r="L4">
        <f t="shared" ref="L4:L8" si="0">1/K4</f>
        <v>1</v>
      </c>
    </row>
    <row r="5" spans="2:12" x14ac:dyDescent="0.55000000000000004">
      <c r="B5" s="134"/>
      <c r="C5" s="134"/>
      <c r="D5" s="135"/>
      <c r="E5" s="136"/>
      <c r="F5" s="120">
        <v>1</v>
      </c>
      <c r="G5" s="145" t="s">
        <v>213</v>
      </c>
      <c r="J5" s="43" t="s">
        <v>132</v>
      </c>
      <c r="K5">
        <f>COUNTIF($B$2:$B$43, "Ecosystems")</f>
        <v>1</v>
      </c>
      <c r="L5">
        <f t="shared" si="0"/>
        <v>1</v>
      </c>
    </row>
    <row r="6" spans="2:12" ht="28.8" x14ac:dyDescent="0.55000000000000004">
      <c r="B6" s="98" t="s">
        <v>131</v>
      </c>
      <c r="C6" s="99" t="s">
        <v>15</v>
      </c>
      <c r="D6" s="100" t="s">
        <v>136</v>
      </c>
      <c r="E6" s="98" t="s">
        <v>142</v>
      </c>
      <c r="F6" s="119">
        <v>4</v>
      </c>
      <c r="G6" s="101" t="s">
        <v>178</v>
      </c>
      <c r="J6" s="67" t="s">
        <v>130</v>
      </c>
      <c r="K6">
        <f>COUNTIF($B$2:$B$43, "WASH")</f>
        <v>4</v>
      </c>
      <c r="L6">
        <f t="shared" si="0"/>
        <v>0.25</v>
      </c>
    </row>
    <row r="7" spans="2:12" ht="14.25" customHeight="1" x14ac:dyDescent="0.55000000000000004">
      <c r="B7" s="98"/>
      <c r="C7" s="99"/>
      <c r="D7" s="100"/>
      <c r="E7" s="98"/>
      <c r="F7" s="119">
        <v>3</v>
      </c>
      <c r="G7" s="101" t="s">
        <v>179</v>
      </c>
      <c r="J7" s="55" t="s">
        <v>129</v>
      </c>
      <c r="K7">
        <f>COUNTIF($B$2:$B$43, "Extreme events")</f>
        <v>2</v>
      </c>
      <c r="L7">
        <f t="shared" si="0"/>
        <v>0.5</v>
      </c>
    </row>
    <row r="8" spans="2:12" x14ac:dyDescent="0.55000000000000004">
      <c r="B8" s="98"/>
      <c r="C8" s="99"/>
      <c r="D8" s="100"/>
      <c r="E8" s="98"/>
      <c r="F8" s="119">
        <v>2</v>
      </c>
      <c r="G8" s="101" t="s">
        <v>180</v>
      </c>
      <c r="J8" s="112" t="s">
        <v>209</v>
      </c>
      <c r="K8">
        <f>COUNTIF($B$2:$B$43, "Governance")</f>
        <v>2</v>
      </c>
      <c r="L8">
        <f t="shared" si="0"/>
        <v>0.5</v>
      </c>
    </row>
    <row r="9" spans="2:12" x14ac:dyDescent="0.55000000000000004">
      <c r="B9" s="102"/>
      <c r="C9" s="103"/>
      <c r="D9" s="104"/>
      <c r="E9" s="102"/>
      <c r="F9" s="120">
        <v>1</v>
      </c>
      <c r="G9" s="105" t="s">
        <v>181</v>
      </c>
    </row>
    <row r="10" spans="2:12" ht="28.8" x14ac:dyDescent="0.55000000000000004">
      <c r="B10" s="87" t="s">
        <v>128</v>
      </c>
      <c r="C10" s="88" t="s">
        <v>8</v>
      </c>
      <c r="D10" s="89" t="s">
        <v>133</v>
      </c>
      <c r="E10" s="87" t="s">
        <v>140</v>
      </c>
      <c r="F10" s="121">
        <v>4</v>
      </c>
      <c r="G10" s="90" t="s">
        <v>152</v>
      </c>
    </row>
    <row r="11" spans="2:12" x14ac:dyDescent="0.55000000000000004">
      <c r="B11" s="91"/>
      <c r="C11" s="92"/>
      <c r="D11" s="93"/>
      <c r="E11" s="91"/>
      <c r="F11" s="122">
        <v>1</v>
      </c>
      <c r="G11" s="94" t="s">
        <v>153</v>
      </c>
    </row>
    <row r="12" spans="2:12" x14ac:dyDescent="0.55000000000000004">
      <c r="B12" s="43" t="s">
        <v>132</v>
      </c>
      <c r="C12" s="80" t="s">
        <v>124</v>
      </c>
      <c r="D12" s="81" t="s">
        <v>138</v>
      </c>
      <c r="E12" s="43" t="s">
        <v>3</v>
      </c>
      <c r="F12" s="123">
        <v>4</v>
      </c>
      <c r="G12" s="82" t="s">
        <v>148</v>
      </c>
    </row>
    <row r="13" spans="2:12" x14ac:dyDescent="0.55000000000000004">
      <c r="B13" s="43"/>
      <c r="C13" s="80"/>
      <c r="D13" s="81"/>
      <c r="E13" s="43"/>
      <c r="F13" s="123">
        <v>3</v>
      </c>
      <c r="G13" s="82" t="s">
        <v>149</v>
      </c>
    </row>
    <row r="14" spans="2:12" x14ac:dyDescent="0.55000000000000004">
      <c r="B14" s="43"/>
      <c r="C14" s="80"/>
      <c r="D14" s="81"/>
      <c r="E14" s="43"/>
      <c r="F14" s="123">
        <v>2</v>
      </c>
      <c r="G14" s="82" t="s">
        <v>150</v>
      </c>
    </row>
    <row r="15" spans="2:12" x14ac:dyDescent="0.55000000000000004">
      <c r="B15" s="83"/>
      <c r="C15" s="84"/>
      <c r="D15" s="85"/>
      <c r="E15" s="83"/>
      <c r="F15" s="124">
        <v>1</v>
      </c>
      <c r="G15" s="86" t="s">
        <v>151</v>
      </c>
    </row>
    <row r="16" spans="2:12" ht="43.2" x14ac:dyDescent="0.55000000000000004">
      <c r="B16" s="67" t="s">
        <v>130</v>
      </c>
      <c r="C16" s="68" t="s">
        <v>12</v>
      </c>
      <c r="D16" s="69" t="s">
        <v>135</v>
      </c>
      <c r="E16" s="67" t="s">
        <v>141</v>
      </c>
      <c r="F16" s="125">
        <v>4</v>
      </c>
      <c r="G16" s="70" t="s">
        <v>152</v>
      </c>
    </row>
    <row r="17" spans="2:7" x14ac:dyDescent="0.55000000000000004">
      <c r="B17" s="71"/>
      <c r="C17" s="72"/>
      <c r="D17" s="73"/>
      <c r="E17" s="71"/>
      <c r="F17" s="126">
        <v>1</v>
      </c>
      <c r="G17" s="74" t="s">
        <v>153</v>
      </c>
    </row>
    <row r="18" spans="2:7" ht="28.8" x14ac:dyDescent="0.55000000000000004">
      <c r="B18" s="67" t="s">
        <v>130</v>
      </c>
      <c r="C18" s="68" t="s">
        <v>19</v>
      </c>
      <c r="D18" s="69" t="s">
        <v>137</v>
      </c>
      <c r="E18" s="67" t="s">
        <v>143</v>
      </c>
      <c r="F18" s="125">
        <v>4</v>
      </c>
      <c r="G18" s="70" t="s">
        <v>144</v>
      </c>
    </row>
    <row r="19" spans="2:7" x14ac:dyDescent="0.55000000000000004">
      <c r="B19" s="75"/>
      <c r="C19" s="76"/>
      <c r="D19" s="77"/>
      <c r="E19" s="75"/>
      <c r="F19" s="127">
        <v>3</v>
      </c>
      <c r="G19" s="78" t="s">
        <v>145</v>
      </c>
    </row>
    <row r="20" spans="2:7" x14ac:dyDescent="0.55000000000000004">
      <c r="B20" s="75"/>
      <c r="C20" s="76"/>
      <c r="D20" s="77"/>
      <c r="E20" s="75"/>
      <c r="F20" s="127">
        <v>2</v>
      </c>
      <c r="G20" s="78" t="s">
        <v>146</v>
      </c>
    </row>
    <row r="21" spans="2:7" x14ac:dyDescent="0.55000000000000004">
      <c r="B21" s="71"/>
      <c r="C21" s="72"/>
      <c r="D21" s="73"/>
      <c r="E21" s="71"/>
      <c r="F21" s="126">
        <v>1</v>
      </c>
      <c r="G21" s="74" t="s">
        <v>147</v>
      </c>
    </row>
    <row r="22" spans="2:7" x14ac:dyDescent="0.55000000000000004">
      <c r="B22" s="67" t="s">
        <v>130</v>
      </c>
      <c r="C22" s="140" t="s">
        <v>187</v>
      </c>
      <c r="D22" s="79" t="s">
        <v>182</v>
      </c>
      <c r="E22" s="67" t="s">
        <v>3</v>
      </c>
      <c r="F22" s="125">
        <v>4</v>
      </c>
      <c r="G22" s="70" t="s">
        <v>184</v>
      </c>
    </row>
    <row r="23" spans="2:7" x14ac:dyDescent="0.55000000000000004">
      <c r="B23" s="75"/>
      <c r="C23" s="141"/>
      <c r="D23" s="77"/>
      <c r="E23" s="75"/>
      <c r="F23" s="127">
        <v>3</v>
      </c>
      <c r="G23" s="78" t="s">
        <v>185</v>
      </c>
    </row>
    <row r="24" spans="2:7" x14ac:dyDescent="0.55000000000000004">
      <c r="B24" s="75"/>
      <c r="C24" s="141"/>
      <c r="D24" s="77"/>
      <c r="E24" s="75"/>
      <c r="F24" s="127">
        <v>2</v>
      </c>
      <c r="G24" s="78" t="s">
        <v>186</v>
      </c>
    </row>
    <row r="25" spans="2:7" x14ac:dyDescent="0.55000000000000004">
      <c r="B25" s="71"/>
      <c r="C25" s="142"/>
      <c r="D25" s="73"/>
      <c r="E25" s="71"/>
      <c r="F25" s="126">
        <v>1</v>
      </c>
      <c r="G25" s="74" t="s">
        <v>189</v>
      </c>
    </row>
    <row r="26" spans="2:7" ht="28.8" x14ac:dyDescent="0.55000000000000004">
      <c r="B26" s="67" t="s">
        <v>130</v>
      </c>
      <c r="C26" s="140" t="s">
        <v>188</v>
      </c>
      <c r="D26" s="79" t="s">
        <v>183</v>
      </c>
      <c r="E26" s="67" t="s">
        <v>3</v>
      </c>
      <c r="F26" s="125">
        <v>4</v>
      </c>
      <c r="G26" s="70" t="s">
        <v>184</v>
      </c>
    </row>
    <row r="27" spans="2:7" x14ac:dyDescent="0.55000000000000004">
      <c r="B27" s="75"/>
      <c r="C27" s="76"/>
      <c r="D27" s="77"/>
      <c r="E27" s="75"/>
      <c r="F27" s="127">
        <v>3</v>
      </c>
      <c r="G27" s="78" t="s">
        <v>185</v>
      </c>
    </row>
    <row r="28" spans="2:7" x14ac:dyDescent="0.55000000000000004">
      <c r="B28" s="75"/>
      <c r="C28" s="76"/>
      <c r="D28" s="77"/>
      <c r="E28" s="75"/>
      <c r="F28" s="127">
        <v>2</v>
      </c>
      <c r="G28" s="78" t="s">
        <v>186</v>
      </c>
    </row>
    <row r="29" spans="2:7" x14ac:dyDescent="0.55000000000000004">
      <c r="B29" s="71"/>
      <c r="C29" s="72"/>
      <c r="D29" s="73"/>
      <c r="E29" s="71"/>
      <c r="F29" s="126">
        <v>1</v>
      </c>
      <c r="G29" s="74" t="s">
        <v>189</v>
      </c>
    </row>
    <row r="30" spans="2:7" ht="57.6" x14ac:dyDescent="0.55000000000000004">
      <c r="B30" s="55" t="s">
        <v>129</v>
      </c>
      <c r="C30" s="56" t="s">
        <v>205</v>
      </c>
      <c r="D30" s="57" t="s">
        <v>165</v>
      </c>
      <c r="E30" s="147" t="s">
        <v>219</v>
      </c>
      <c r="F30" s="128">
        <v>4</v>
      </c>
      <c r="G30" s="58" t="s">
        <v>214</v>
      </c>
    </row>
    <row r="31" spans="2:7" x14ac:dyDescent="0.55000000000000004">
      <c r="B31" s="59"/>
      <c r="C31" s="56"/>
      <c r="D31" s="57"/>
      <c r="E31" s="59"/>
      <c r="F31" s="128">
        <v>3</v>
      </c>
      <c r="G31" s="58" t="s">
        <v>215</v>
      </c>
    </row>
    <row r="32" spans="2:7" x14ac:dyDescent="0.55000000000000004">
      <c r="B32" s="59"/>
      <c r="C32" s="56"/>
      <c r="D32" s="57"/>
      <c r="E32" s="59"/>
      <c r="F32" s="128">
        <v>2</v>
      </c>
      <c r="G32" s="58" t="s">
        <v>216</v>
      </c>
    </row>
    <row r="33" spans="2:7" x14ac:dyDescent="0.55000000000000004">
      <c r="B33" s="59"/>
      <c r="C33" s="56"/>
      <c r="D33" s="57"/>
      <c r="E33" s="59"/>
      <c r="F33" s="128">
        <v>1</v>
      </c>
      <c r="G33" s="58" t="s">
        <v>217</v>
      </c>
    </row>
    <row r="34" spans="2:7" ht="28.8" x14ac:dyDescent="0.55000000000000004">
      <c r="B34" s="55" t="s">
        <v>129</v>
      </c>
      <c r="C34" s="60" t="s">
        <v>10</v>
      </c>
      <c r="D34" s="61" t="s">
        <v>134</v>
      </c>
      <c r="E34" s="55" t="s">
        <v>140</v>
      </c>
      <c r="F34" s="129">
        <v>4</v>
      </c>
      <c r="G34" s="62" t="s">
        <v>152</v>
      </c>
    </row>
    <row r="35" spans="2:7" x14ac:dyDescent="0.55000000000000004">
      <c r="B35" s="63"/>
      <c r="C35" s="64"/>
      <c r="D35" s="65"/>
      <c r="E35" s="63"/>
      <c r="F35" s="130">
        <v>1</v>
      </c>
      <c r="G35" s="66" t="s">
        <v>153</v>
      </c>
    </row>
    <row r="36" spans="2:7" ht="28.8" x14ac:dyDescent="0.55000000000000004">
      <c r="B36" s="112" t="s">
        <v>209</v>
      </c>
      <c r="C36" s="148" t="s">
        <v>206</v>
      </c>
      <c r="D36" s="116" t="s">
        <v>173</v>
      </c>
      <c r="E36" s="107" t="s">
        <v>229</v>
      </c>
      <c r="F36" s="131">
        <v>4</v>
      </c>
      <c r="G36" s="115" t="s">
        <v>220</v>
      </c>
    </row>
    <row r="37" spans="2:7" x14ac:dyDescent="0.55000000000000004">
      <c r="B37" s="113"/>
      <c r="C37" s="113"/>
      <c r="D37" s="117"/>
      <c r="E37" s="106"/>
      <c r="F37" s="132">
        <v>3</v>
      </c>
      <c r="G37" s="108" t="s">
        <v>221</v>
      </c>
    </row>
    <row r="38" spans="2:7" x14ac:dyDescent="0.55000000000000004">
      <c r="B38" s="113"/>
      <c r="C38" s="113"/>
      <c r="D38" s="117"/>
      <c r="E38" s="106"/>
      <c r="F38" s="132">
        <v>2</v>
      </c>
      <c r="G38" s="108" t="s">
        <v>222</v>
      </c>
    </row>
    <row r="39" spans="2:7" x14ac:dyDescent="0.55000000000000004">
      <c r="B39" s="114"/>
      <c r="C39" s="148"/>
      <c r="D39" s="118"/>
      <c r="E39" s="109"/>
      <c r="F39" s="133">
        <v>1</v>
      </c>
      <c r="G39" s="111" t="s">
        <v>223</v>
      </c>
    </row>
    <row r="40" spans="2:7" ht="43.2" x14ac:dyDescent="0.55000000000000004">
      <c r="B40" s="112" t="s">
        <v>209</v>
      </c>
      <c r="C40" s="149" t="s">
        <v>207</v>
      </c>
      <c r="D40" s="107" t="s">
        <v>174</v>
      </c>
      <c r="E40" s="116" t="s">
        <v>228</v>
      </c>
      <c r="F40" s="132">
        <v>4</v>
      </c>
      <c r="G40" s="112" t="s">
        <v>224</v>
      </c>
    </row>
    <row r="41" spans="2:7" x14ac:dyDescent="0.55000000000000004">
      <c r="B41" s="113"/>
      <c r="C41" s="113"/>
      <c r="D41" s="107"/>
      <c r="E41" s="113"/>
      <c r="F41" s="132">
        <v>3</v>
      </c>
      <c r="G41" s="113" t="s">
        <v>225</v>
      </c>
    </row>
    <row r="42" spans="2:7" x14ac:dyDescent="0.55000000000000004">
      <c r="B42" s="113"/>
      <c r="C42" s="113"/>
      <c r="D42" s="107"/>
      <c r="E42" s="113"/>
      <c r="F42" s="132">
        <v>2</v>
      </c>
      <c r="G42" s="113" t="s">
        <v>226</v>
      </c>
    </row>
    <row r="43" spans="2:7" x14ac:dyDescent="0.55000000000000004">
      <c r="B43" s="114"/>
      <c r="C43" s="114"/>
      <c r="D43" s="110"/>
      <c r="E43" s="114"/>
      <c r="F43" s="133">
        <v>1</v>
      </c>
      <c r="G43" s="114" t="s">
        <v>227</v>
      </c>
    </row>
  </sheetData>
  <mergeCells count="1">
    <mergeCell ref="F1:G1"/>
  </mergeCells>
  <pageMargins left="0.7" right="0.7" top="0.75" bottom="0.75" header="0.3" footer="0.3"/>
  <pageSetup scale="69" orientation="landscape"/>
  <legacy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5"/>
  <sheetViews>
    <sheetView zoomScale="70" zoomScaleNormal="70" zoomScalePageLayoutView="70" workbookViewId="0">
      <pane xSplit="5" ySplit="1" topLeftCell="N2" activePane="bottomRight" state="frozen"/>
      <selection pane="topRight" activeCell="F1" sqref="F1"/>
      <selection pane="bottomLeft" activeCell="A2" sqref="A2"/>
      <selection pane="bottomRight" sqref="A1:S1"/>
    </sheetView>
  </sheetViews>
  <sheetFormatPr defaultColWidth="8.83984375" defaultRowHeight="14.4" x14ac:dyDescent="0.55000000000000004"/>
  <cols>
    <col min="1" max="1" width="15.41796875" customWidth="1"/>
    <col min="2" max="2" width="18.26171875" bestFit="1" customWidth="1"/>
    <col min="3" max="3" width="40.15625" bestFit="1" customWidth="1"/>
    <col min="4" max="4" width="17" bestFit="1" customWidth="1"/>
    <col min="5" max="5" width="41.15625" bestFit="1" customWidth="1"/>
    <col min="6" max="6" width="23.15625" customWidth="1"/>
    <col min="7" max="7" width="21" customWidth="1"/>
    <col min="8" max="8" width="22.41796875" customWidth="1"/>
    <col min="9" max="9" width="18.41796875" customWidth="1"/>
    <col min="10" max="10" width="10.68359375" customWidth="1"/>
    <col min="11" max="11" width="29.68359375" customWidth="1"/>
    <col min="12" max="12" width="24.41796875" customWidth="1"/>
    <col min="13" max="13" width="27.41796875" customWidth="1"/>
    <col min="14" max="14" width="18.26171875" customWidth="1"/>
    <col min="15" max="15" width="34.41796875" customWidth="1"/>
    <col min="16" max="16" width="23.41796875" customWidth="1"/>
    <col min="17" max="17" width="34.41796875" customWidth="1"/>
    <col min="18" max="18" width="21.41796875" customWidth="1"/>
    <col min="19" max="19" width="22.83984375" customWidth="1"/>
  </cols>
  <sheetData>
    <row r="1" spans="1:19" s="4" customFormat="1" ht="47.25" customHeight="1" x14ac:dyDescent="0.55000000000000004">
      <c r="A1" s="4" t="s">
        <v>0</v>
      </c>
      <c r="B1" s="4" t="s">
        <v>1</v>
      </c>
      <c r="C1" s="4" t="s">
        <v>2</v>
      </c>
      <c r="D1" s="4" t="s">
        <v>3</v>
      </c>
      <c r="E1" s="4" t="s">
        <v>4</v>
      </c>
      <c r="F1" s="39" t="s">
        <v>5</v>
      </c>
      <c r="G1" s="39" t="s">
        <v>6</v>
      </c>
      <c r="H1" s="39" t="s">
        <v>7</v>
      </c>
      <c r="I1" s="39" t="s">
        <v>9</v>
      </c>
      <c r="J1" s="39" t="s">
        <v>11</v>
      </c>
      <c r="K1" s="39" t="s">
        <v>13</v>
      </c>
      <c r="L1" s="39" t="s">
        <v>14</v>
      </c>
      <c r="M1" s="39" t="s">
        <v>16</v>
      </c>
      <c r="N1" s="39" t="s">
        <v>17</v>
      </c>
      <c r="O1" s="39" t="s">
        <v>18</v>
      </c>
      <c r="P1" s="39" t="s">
        <v>20</v>
      </c>
      <c r="Q1" s="39" t="s">
        <v>21</v>
      </c>
      <c r="R1" s="39" t="s">
        <v>22</v>
      </c>
      <c r="S1" s="40" t="s">
        <v>23</v>
      </c>
    </row>
    <row r="2" spans="1:19" x14ac:dyDescent="0.55000000000000004">
      <c r="A2" t="s">
        <v>24</v>
      </c>
      <c r="B2" t="s">
        <v>25</v>
      </c>
      <c r="C2" t="s">
        <v>26</v>
      </c>
      <c r="D2" t="s">
        <v>27</v>
      </c>
      <c r="E2" t="s">
        <v>28</v>
      </c>
      <c r="G2" t="s">
        <v>29</v>
      </c>
      <c r="H2" t="s">
        <v>30</v>
      </c>
      <c r="I2" t="s">
        <v>30</v>
      </c>
      <c r="J2" t="s">
        <v>31</v>
      </c>
      <c r="K2">
        <v>3555</v>
      </c>
      <c r="L2">
        <v>174</v>
      </c>
      <c r="M2">
        <v>93</v>
      </c>
      <c r="N2">
        <v>0.47</v>
      </c>
      <c r="O2">
        <v>37.299999999999997</v>
      </c>
      <c r="P2">
        <v>0.63553120289855081</v>
      </c>
      <c r="Q2">
        <v>0.24</v>
      </c>
      <c r="R2" s="35">
        <v>8492</v>
      </c>
      <c r="S2" s="35">
        <v>6592</v>
      </c>
    </row>
    <row r="3" spans="1:19" x14ac:dyDescent="0.55000000000000004">
      <c r="A3" t="s">
        <v>32</v>
      </c>
      <c r="B3" t="s">
        <v>33</v>
      </c>
      <c r="C3" t="s">
        <v>34</v>
      </c>
      <c r="D3" t="s">
        <v>27</v>
      </c>
      <c r="E3" t="s">
        <v>28</v>
      </c>
      <c r="H3" t="s">
        <v>30</v>
      </c>
      <c r="I3" t="s">
        <v>30</v>
      </c>
      <c r="J3" t="s">
        <v>31</v>
      </c>
      <c r="K3">
        <v>28050</v>
      </c>
      <c r="L3">
        <v>174</v>
      </c>
      <c r="M3">
        <v>93</v>
      </c>
      <c r="N3">
        <v>0.47</v>
      </c>
      <c r="O3">
        <v>31</v>
      </c>
      <c r="P3">
        <v>0.63553120289855081</v>
      </c>
      <c r="Q3">
        <v>0.24</v>
      </c>
      <c r="R3" s="35">
        <v>8492</v>
      </c>
      <c r="S3" s="35">
        <v>6592</v>
      </c>
    </row>
    <row r="4" spans="1:19" x14ac:dyDescent="0.55000000000000004">
      <c r="A4" t="s">
        <v>35</v>
      </c>
      <c r="B4" t="s">
        <v>36</v>
      </c>
      <c r="C4" t="s">
        <v>37</v>
      </c>
      <c r="D4" t="s">
        <v>27</v>
      </c>
      <c r="E4" t="s">
        <v>38</v>
      </c>
      <c r="G4" t="s">
        <v>29</v>
      </c>
      <c r="H4" t="s">
        <v>30</v>
      </c>
      <c r="I4" t="s">
        <v>30</v>
      </c>
      <c r="J4" t="s">
        <v>39</v>
      </c>
      <c r="K4">
        <v>11363</v>
      </c>
      <c r="L4">
        <v>181</v>
      </c>
      <c r="M4">
        <v>106</v>
      </c>
      <c r="N4">
        <v>0.41</v>
      </c>
      <c r="O4">
        <v>24.2</v>
      </c>
      <c r="P4">
        <v>0.63553120289855081</v>
      </c>
      <c r="Q4">
        <v>0.27</v>
      </c>
      <c r="R4" s="35">
        <v>8492</v>
      </c>
      <c r="S4" s="35">
        <v>6592</v>
      </c>
    </row>
    <row r="5" spans="1:19" x14ac:dyDescent="0.55000000000000004">
      <c r="A5" t="s">
        <v>32</v>
      </c>
      <c r="B5" t="s">
        <v>33</v>
      </c>
      <c r="C5" t="s">
        <v>40</v>
      </c>
      <c r="D5" t="s">
        <v>41</v>
      </c>
      <c r="E5" t="s">
        <v>42</v>
      </c>
      <c r="H5" t="s">
        <v>30</v>
      </c>
      <c r="I5" t="s">
        <v>31</v>
      </c>
      <c r="J5" t="s">
        <v>30</v>
      </c>
      <c r="K5">
        <v>14406</v>
      </c>
      <c r="L5">
        <v>212</v>
      </c>
      <c r="M5">
        <v>138</v>
      </c>
      <c r="N5">
        <v>0.35</v>
      </c>
      <c r="O5">
        <v>96</v>
      </c>
      <c r="P5">
        <v>0.922046373015873</v>
      </c>
      <c r="Q5">
        <v>0.11</v>
      </c>
      <c r="R5" s="36">
        <v>4866</v>
      </c>
      <c r="S5" s="36">
        <v>3866</v>
      </c>
    </row>
    <row r="6" spans="1:19" x14ac:dyDescent="0.55000000000000004">
      <c r="A6" t="s">
        <v>32</v>
      </c>
      <c r="B6" t="s">
        <v>33</v>
      </c>
      <c r="C6" t="s">
        <v>43</v>
      </c>
      <c r="D6" t="s">
        <v>27</v>
      </c>
      <c r="E6" t="s">
        <v>44</v>
      </c>
      <c r="H6" t="s">
        <v>30</v>
      </c>
      <c r="I6" t="s">
        <v>30</v>
      </c>
      <c r="J6" t="s">
        <v>31</v>
      </c>
      <c r="K6">
        <v>35300</v>
      </c>
      <c r="L6">
        <v>125</v>
      </c>
      <c r="M6">
        <v>81</v>
      </c>
      <c r="N6">
        <v>0.35</v>
      </c>
      <c r="O6">
        <v>43.5</v>
      </c>
      <c r="P6">
        <v>0.63553120289855081</v>
      </c>
      <c r="Q6">
        <v>0.27</v>
      </c>
      <c r="R6" s="35">
        <v>8492</v>
      </c>
      <c r="S6" s="35">
        <v>6592</v>
      </c>
    </row>
    <row r="7" spans="1:19" x14ac:dyDescent="0.55000000000000004">
      <c r="A7" t="s">
        <v>32</v>
      </c>
      <c r="B7" t="s">
        <v>33</v>
      </c>
      <c r="C7" t="s">
        <v>45</v>
      </c>
      <c r="D7" t="s">
        <v>27</v>
      </c>
      <c r="E7" t="s">
        <v>46</v>
      </c>
      <c r="H7" t="s">
        <v>30</v>
      </c>
      <c r="I7" t="s">
        <v>31</v>
      </c>
      <c r="J7" t="s">
        <v>31</v>
      </c>
      <c r="K7">
        <v>22847</v>
      </c>
      <c r="L7">
        <v>147</v>
      </c>
      <c r="M7">
        <v>104</v>
      </c>
      <c r="N7">
        <v>0.28999999999999998</v>
      </c>
      <c r="O7">
        <v>24</v>
      </c>
      <c r="P7">
        <v>0.63553120289855081</v>
      </c>
      <c r="Q7">
        <v>0.28000000000000003</v>
      </c>
      <c r="R7" s="35">
        <v>8492</v>
      </c>
      <c r="S7" s="35">
        <v>6592</v>
      </c>
    </row>
    <row r="8" spans="1:19" x14ac:dyDescent="0.55000000000000004">
      <c r="A8" t="s">
        <v>32</v>
      </c>
      <c r="B8" t="s">
        <v>33</v>
      </c>
      <c r="C8" t="s">
        <v>47</v>
      </c>
      <c r="D8" t="s">
        <v>41</v>
      </c>
      <c r="E8" t="s">
        <v>48</v>
      </c>
      <c r="H8" t="s">
        <v>30</v>
      </c>
      <c r="I8" t="s">
        <v>30</v>
      </c>
      <c r="J8" t="s">
        <v>30</v>
      </c>
      <c r="K8">
        <v>16068</v>
      </c>
      <c r="L8">
        <v>222</v>
      </c>
      <c r="M8">
        <v>144</v>
      </c>
      <c r="N8">
        <v>0.35</v>
      </c>
      <c r="O8">
        <v>95.5</v>
      </c>
      <c r="P8">
        <v>0.922046373015873</v>
      </c>
      <c r="Q8">
        <v>0</v>
      </c>
      <c r="R8" s="36">
        <v>4866</v>
      </c>
      <c r="S8" s="36">
        <v>3866</v>
      </c>
    </row>
    <row r="9" spans="1:19" x14ac:dyDescent="0.55000000000000004">
      <c r="A9" t="s">
        <v>32</v>
      </c>
      <c r="B9" t="s">
        <v>33</v>
      </c>
      <c r="C9" t="s">
        <v>49</v>
      </c>
      <c r="D9" t="s">
        <v>27</v>
      </c>
      <c r="E9" t="s">
        <v>50</v>
      </c>
      <c r="H9" t="s">
        <v>30</v>
      </c>
      <c r="I9" t="s">
        <v>31</v>
      </c>
      <c r="J9" t="s">
        <v>31</v>
      </c>
      <c r="K9">
        <v>11162</v>
      </c>
      <c r="L9">
        <v>103</v>
      </c>
      <c r="M9">
        <v>69</v>
      </c>
      <c r="N9">
        <v>0.33</v>
      </c>
      <c r="O9">
        <v>52.5</v>
      </c>
      <c r="P9">
        <v>0.63553120289855081</v>
      </c>
      <c r="Q9">
        <v>0.28000000000000003</v>
      </c>
      <c r="R9" s="35">
        <v>8492</v>
      </c>
      <c r="S9" s="35">
        <v>6592</v>
      </c>
    </row>
    <row r="10" spans="1:19" x14ac:dyDescent="0.55000000000000004">
      <c r="A10" t="s">
        <v>32</v>
      </c>
      <c r="B10" t="s">
        <v>33</v>
      </c>
      <c r="C10" t="s">
        <v>51</v>
      </c>
      <c r="D10" t="s">
        <v>27</v>
      </c>
      <c r="E10" t="s">
        <v>52</v>
      </c>
      <c r="H10" t="s">
        <v>30</v>
      </c>
      <c r="I10" t="s">
        <v>30</v>
      </c>
      <c r="J10" t="s">
        <v>31</v>
      </c>
      <c r="K10">
        <v>12426</v>
      </c>
      <c r="L10">
        <v>115</v>
      </c>
      <c r="M10">
        <v>84</v>
      </c>
      <c r="N10">
        <v>0.27</v>
      </c>
      <c r="O10">
        <v>45</v>
      </c>
      <c r="P10">
        <v>0.63553120289855081</v>
      </c>
      <c r="Q10">
        <v>0.28000000000000003</v>
      </c>
      <c r="R10" s="35">
        <v>8492</v>
      </c>
      <c r="S10" s="35">
        <v>6592</v>
      </c>
    </row>
    <row r="11" spans="1:19" x14ac:dyDescent="0.55000000000000004">
      <c r="A11" t="s">
        <v>32</v>
      </c>
      <c r="B11" t="s">
        <v>33</v>
      </c>
      <c r="C11" t="s">
        <v>53</v>
      </c>
      <c r="D11" t="s">
        <v>27</v>
      </c>
      <c r="E11" t="s">
        <v>52</v>
      </c>
      <c r="H11" t="s">
        <v>30</v>
      </c>
      <c r="I11" t="s">
        <v>30</v>
      </c>
      <c r="J11" t="s">
        <v>30</v>
      </c>
      <c r="K11">
        <v>8702</v>
      </c>
      <c r="L11">
        <v>115</v>
      </c>
      <c r="M11">
        <v>84</v>
      </c>
      <c r="N11">
        <v>0.27</v>
      </c>
      <c r="O11">
        <v>45</v>
      </c>
      <c r="P11">
        <v>0.63553120289855081</v>
      </c>
      <c r="Q11">
        <v>0.28000000000000003</v>
      </c>
      <c r="R11" s="35">
        <v>8492</v>
      </c>
      <c r="S11" s="35">
        <v>6592</v>
      </c>
    </row>
    <row r="12" spans="1:19" x14ac:dyDescent="0.55000000000000004">
      <c r="A12" t="s">
        <v>32</v>
      </c>
      <c r="B12" t="s">
        <v>33</v>
      </c>
      <c r="C12" t="s">
        <v>54</v>
      </c>
      <c r="D12" t="s">
        <v>41</v>
      </c>
      <c r="E12" t="s">
        <v>55</v>
      </c>
      <c r="H12" t="s">
        <v>30</v>
      </c>
      <c r="I12" t="s">
        <v>31</v>
      </c>
      <c r="J12" t="s">
        <v>30</v>
      </c>
      <c r="K12">
        <v>7529</v>
      </c>
      <c r="L12">
        <v>226</v>
      </c>
      <c r="M12">
        <v>165</v>
      </c>
      <c r="N12">
        <v>0.27</v>
      </c>
      <c r="O12">
        <v>71.5</v>
      </c>
      <c r="P12">
        <v>0.922046373015873</v>
      </c>
      <c r="Q12">
        <v>0.3</v>
      </c>
      <c r="R12" s="36">
        <v>4866</v>
      </c>
      <c r="S12" s="36">
        <v>3866</v>
      </c>
    </row>
    <row r="13" spans="1:19" x14ac:dyDescent="0.55000000000000004">
      <c r="A13" t="s">
        <v>32</v>
      </c>
      <c r="B13" t="s">
        <v>33</v>
      </c>
      <c r="C13" t="s">
        <v>56</v>
      </c>
      <c r="D13" t="s">
        <v>41</v>
      </c>
      <c r="E13" t="s">
        <v>57</v>
      </c>
      <c r="H13" t="s">
        <v>30</v>
      </c>
      <c r="I13" t="s">
        <v>30</v>
      </c>
      <c r="J13" t="s">
        <v>30</v>
      </c>
      <c r="K13">
        <v>14341</v>
      </c>
      <c r="L13">
        <v>219</v>
      </c>
      <c r="M13">
        <v>166</v>
      </c>
      <c r="N13">
        <v>0.24</v>
      </c>
      <c r="O13">
        <v>75.5</v>
      </c>
      <c r="P13">
        <v>0.922046373015873</v>
      </c>
      <c r="Q13">
        <v>0.02</v>
      </c>
      <c r="R13" s="36">
        <v>4866</v>
      </c>
      <c r="S13" s="36">
        <v>3866</v>
      </c>
    </row>
    <row r="14" spans="1:19" x14ac:dyDescent="0.55000000000000004">
      <c r="A14" t="s">
        <v>32</v>
      </c>
      <c r="B14" t="s">
        <v>33</v>
      </c>
      <c r="C14" t="s">
        <v>58</v>
      </c>
      <c r="D14" t="s">
        <v>59</v>
      </c>
      <c r="E14" t="s">
        <v>60</v>
      </c>
      <c r="H14" t="s">
        <v>31</v>
      </c>
      <c r="I14" t="s">
        <v>31</v>
      </c>
      <c r="J14" t="s">
        <v>31</v>
      </c>
      <c r="K14">
        <v>7497</v>
      </c>
      <c r="L14">
        <v>166</v>
      </c>
      <c r="M14">
        <v>126</v>
      </c>
      <c r="N14">
        <v>0.24</v>
      </c>
      <c r="O14">
        <v>86</v>
      </c>
      <c r="P14">
        <v>0.71478052702702721</v>
      </c>
      <c r="Q14">
        <v>0.46</v>
      </c>
      <c r="R14" s="36">
        <v>6916</v>
      </c>
      <c r="S14" s="36">
        <v>4516</v>
      </c>
    </row>
    <row r="15" spans="1:19" x14ac:dyDescent="0.55000000000000004">
      <c r="A15" t="s">
        <v>32</v>
      </c>
      <c r="B15" t="s">
        <v>33</v>
      </c>
      <c r="C15" t="s">
        <v>61</v>
      </c>
      <c r="D15" t="s">
        <v>59</v>
      </c>
      <c r="E15" t="s">
        <v>60</v>
      </c>
      <c r="H15" t="s">
        <v>31</v>
      </c>
      <c r="I15" t="s">
        <v>31</v>
      </c>
      <c r="J15" t="s">
        <v>31</v>
      </c>
      <c r="K15">
        <v>8684</v>
      </c>
      <c r="L15">
        <v>166</v>
      </c>
      <c r="M15">
        <v>126</v>
      </c>
      <c r="N15">
        <v>0.24</v>
      </c>
      <c r="O15">
        <v>92.5</v>
      </c>
      <c r="P15">
        <v>0.71478052702702721</v>
      </c>
      <c r="Q15">
        <v>0.46</v>
      </c>
      <c r="R15" s="36">
        <v>6916</v>
      </c>
      <c r="S15" s="36">
        <v>4516</v>
      </c>
    </row>
    <row r="16" spans="1:19" x14ac:dyDescent="0.55000000000000004">
      <c r="A16" t="s">
        <v>32</v>
      </c>
      <c r="B16" t="s">
        <v>33</v>
      </c>
      <c r="C16" t="s">
        <v>62</v>
      </c>
      <c r="D16" t="s">
        <v>59</v>
      </c>
      <c r="E16" t="s">
        <v>63</v>
      </c>
      <c r="H16" t="s">
        <v>31</v>
      </c>
      <c r="I16" t="s">
        <v>30</v>
      </c>
      <c r="J16" t="s">
        <v>30</v>
      </c>
      <c r="K16">
        <v>10094</v>
      </c>
      <c r="L16">
        <v>179</v>
      </c>
      <c r="M16">
        <v>131</v>
      </c>
      <c r="N16">
        <v>0.27</v>
      </c>
      <c r="O16">
        <v>72</v>
      </c>
      <c r="P16">
        <v>0.71478052702702721</v>
      </c>
      <c r="Q16">
        <v>0.68</v>
      </c>
      <c r="R16" s="36">
        <v>6916</v>
      </c>
      <c r="S16" s="36">
        <v>4516</v>
      </c>
    </row>
    <row r="17" spans="1:19" x14ac:dyDescent="0.55000000000000004">
      <c r="A17" t="s">
        <v>32</v>
      </c>
      <c r="B17" t="s">
        <v>64</v>
      </c>
      <c r="C17" t="s">
        <v>65</v>
      </c>
      <c r="D17" t="s">
        <v>41</v>
      </c>
      <c r="E17" t="s">
        <v>66</v>
      </c>
      <c r="H17" t="s">
        <v>30</v>
      </c>
      <c r="I17" t="s">
        <v>31</v>
      </c>
      <c r="J17" t="s">
        <v>31</v>
      </c>
      <c r="K17">
        <v>42290</v>
      </c>
      <c r="L17">
        <v>192</v>
      </c>
      <c r="M17">
        <v>126</v>
      </c>
      <c r="N17">
        <v>0.34</v>
      </c>
      <c r="O17">
        <v>80.5</v>
      </c>
      <c r="P17">
        <v>0.922046373015873</v>
      </c>
      <c r="R17" s="36">
        <v>4866</v>
      </c>
      <c r="S17" s="36">
        <v>3866</v>
      </c>
    </row>
    <row r="18" spans="1:19" x14ac:dyDescent="0.55000000000000004">
      <c r="A18" t="s">
        <v>32</v>
      </c>
      <c r="B18" t="s">
        <v>33</v>
      </c>
      <c r="C18" t="s">
        <v>67</v>
      </c>
      <c r="D18" t="s">
        <v>27</v>
      </c>
      <c r="E18" t="s">
        <v>68</v>
      </c>
      <c r="H18" t="s">
        <v>30</v>
      </c>
      <c r="I18" t="s">
        <v>30</v>
      </c>
      <c r="J18" t="s">
        <v>31</v>
      </c>
      <c r="K18">
        <v>17283</v>
      </c>
      <c r="L18">
        <v>107</v>
      </c>
      <c r="M18">
        <v>78</v>
      </c>
      <c r="N18">
        <v>0.27</v>
      </c>
      <c r="O18">
        <v>22.5</v>
      </c>
      <c r="P18">
        <v>0.63553120289855081</v>
      </c>
      <c r="Q18">
        <v>0</v>
      </c>
      <c r="R18" s="35">
        <v>8492</v>
      </c>
      <c r="S18" s="35">
        <v>6592</v>
      </c>
    </row>
    <row r="19" spans="1:19" x14ac:dyDescent="0.55000000000000004">
      <c r="A19" t="s">
        <v>69</v>
      </c>
      <c r="B19" t="s">
        <v>70</v>
      </c>
      <c r="C19" t="s">
        <v>71</v>
      </c>
      <c r="D19" t="s">
        <v>27</v>
      </c>
      <c r="E19" t="s">
        <v>72</v>
      </c>
      <c r="G19" t="s">
        <v>29</v>
      </c>
      <c r="H19" t="s">
        <v>30</v>
      </c>
      <c r="I19" t="s">
        <v>31</v>
      </c>
      <c r="J19" t="s">
        <v>31</v>
      </c>
      <c r="K19">
        <v>13921</v>
      </c>
      <c r="L19">
        <v>146</v>
      </c>
      <c r="M19">
        <v>73</v>
      </c>
      <c r="N19">
        <v>0.5</v>
      </c>
      <c r="O19">
        <v>39.5</v>
      </c>
      <c r="P19">
        <v>0.63553120289855081</v>
      </c>
      <c r="Q19">
        <v>7.0000000000000007E-2</v>
      </c>
      <c r="R19" s="35">
        <v>8492</v>
      </c>
      <c r="S19" s="35">
        <v>6592</v>
      </c>
    </row>
    <row r="20" spans="1:19" x14ac:dyDescent="0.55000000000000004">
      <c r="A20" t="s">
        <v>32</v>
      </c>
      <c r="B20" t="s">
        <v>33</v>
      </c>
      <c r="C20" t="s">
        <v>73</v>
      </c>
      <c r="D20" t="s">
        <v>27</v>
      </c>
      <c r="E20" t="s">
        <v>72</v>
      </c>
      <c r="H20" t="s">
        <v>30</v>
      </c>
      <c r="I20" t="s">
        <v>30</v>
      </c>
      <c r="J20" t="s">
        <v>31</v>
      </c>
      <c r="K20">
        <v>30727</v>
      </c>
      <c r="L20">
        <v>146</v>
      </c>
      <c r="M20">
        <v>73</v>
      </c>
      <c r="N20">
        <v>0.5</v>
      </c>
      <c r="O20">
        <v>40</v>
      </c>
      <c r="P20">
        <v>0.63553120289855081</v>
      </c>
      <c r="Q20">
        <v>7.0000000000000007E-2</v>
      </c>
      <c r="R20" s="35">
        <v>8492</v>
      </c>
      <c r="S20" s="35">
        <v>6592</v>
      </c>
    </row>
    <row r="21" spans="1:19" x14ac:dyDescent="0.55000000000000004">
      <c r="A21" t="s">
        <v>32</v>
      </c>
      <c r="B21" t="s">
        <v>33</v>
      </c>
      <c r="C21" t="s">
        <v>74</v>
      </c>
      <c r="D21" t="s">
        <v>27</v>
      </c>
      <c r="E21" t="s">
        <v>72</v>
      </c>
      <c r="H21" t="s">
        <v>30</v>
      </c>
      <c r="I21" t="s">
        <v>31</v>
      </c>
      <c r="J21" t="s">
        <v>31</v>
      </c>
      <c r="K21">
        <v>29268</v>
      </c>
      <c r="L21">
        <v>146</v>
      </c>
      <c r="M21">
        <v>73</v>
      </c>
      <c r="N21">
        <v>0.5</v>
      </c>
      <c r="O21">
        <v>40</v>
      </c>
      <c r="P21">
        <v>0.63553120289855081</v>
      </c>
      <c r="Q21">
        <v>7.0000000000000007E-2</v>
      </c>
      <c r="R21" s="35">
        <v>8492</v>
      </c>
      <c r="S21" s="35">
        <v>6592</v>
      </c>
    </row>
    <row r="22" spans="1:19" x14ac:dyDescent="0.55000000000000004">
      <c r="A22" t="s">
        <v>75</v>
      </c>
      <c r="B22" t="s">
        <v>64</v>
      </c>
      <c r="C22" t="s">
        <v>76</v>
      </c>
      <c r="D22" t="s">
        <v>59</v>
      </c>
      <c r="E22" t="s">
        <v>77</v>
      </c>
      <c r="F22" t="s">
        <v>78</v>
      </c>
      <c r="G22" t="s">
        <v>29</v>
      </c>
      <c r="H22" t="s">
        <v>30</v>
      </c>
      <c r="I22" t="s">
        <v>31</v>
      </c>
      <c r="J22" t="s">
        <v>39</v>
      </c>
      <c r="K22">
        <v>8935</v>
      </c>
      <c r="L22">
        <v>272</v>
      </c>
      <c r="M22">
        <v>207</v>
      </c>
      <c r="N22">
        <v>0.24</v>
      </c>
      <c r="O22">
        <v>92.5</v>
      </c>
      <c r="P22">
        <v>0.71478052702702721</v>
      </c>
      <c r="Q22">
        <v>0.49</v>
      </c>
      <c r="R22" s="36">
        <v>6916</v>
      </c>
      <c r="S22" s="36">
        <v>4516</v>
      </c>
    </row>
    <row r="23" spans="1:19" x14ac:dyDescent="0.55000000000000004">
      <c r="A23" t="s">
        <v>32</v>
      </c>
      <c r="B23" t="s">
        <v>33</v>
      </c>
      <c r="C23" t="s">
        <v>79</v>
      </c>
      <c r="D23" t="s">
        <v>27</v>
      </c>
      <c r="E23" t="s">
        <v>80</v>
      </c>
      <c r="H23" t="s">
        <v>30</v>
      </c>
      <c r="I23" t="s">
        <v>31</v>
      </c>
      <c r="J23" t="s">
        <v>31</v>
      </c>
      <c r="K23">
        <v>27689</v>
      </c>
      <c r="L23">
        <v>156</v>
      </c>
      <c r="M23">
        <v>93</v>
      </c>
      <c r="N23">
        <v>0.4</v>
      </c>
      <c r="O23">
        <v>22.5</v>
      </c>
      <c r="P23">
        <v>0.63553120289855081</v>
      </c>
      <c r="Q23">
        <v>0</v>
      </c>
      <c r="R23" s="35">
        <v>8492</v>
      </c>
      <c r="S23" s="35">
        <v>6592</v>
      </c>
    </row>
    <row r="24" spans="1:19" x14ac:dyDescent="0.55000000000000004">
      <c r="A24" t="s">
        <v>32</v>
      </c>
      <c r="B24" t="s">
        <v>33</v>
      </c>
      <c r="C24" t="s">
        <v>81</v>
      </c>
      <c r="D24" t="s">
        <v>41</v>
      </c>
      <c r="E24" t="s">
        <v>82</v>
      </c>
      <c r="H24" t="s">
        <v>30</v>
      </c>
      <c r="I24" t="s">
        <v>31</v>
      </c>
      <c r="J24" t="s">
        <v>30</v>
      </c>
      <c r="K24">
        <v>3486</v>
      </c>
      <c r="L24">
        <v>184</v>
      </c>
      <c r="M24">
        <v>117</v>
      </c>
      <c r="N24">
        <v>0.36</v>
      </c>
      <c r="O24">
        <v>94</v>
      </c>
      <c r="P24">
        <v>0.922046373015873</v>
      </c>
      <c r="Q24">
        <v>0.32</v>
      </c>
      <c r="R24" s="36">
        <v>4866</v>
      </c>
      <c r="S24" s="36">
        <v>3866</v>
      </c>
    </row>
    <row r="25" spans="1:19" x14ac:dyDescent="0.55000000000000004">
      <c r="A25" t="s">
        <v>24</v>
      </c>
      <c r="B25" t="s">
        <v>83</v>
      </c>
      <c r="C25" t="s">
        <v>84</v>
      </c>
      <c r="D25" t="s">
        <v>41</v>
      </c>
      <c r="E25" t="s">
        <v>85</v>
      </c>
      <c r="F25" t="s">
        <v>86</v>
      </c>
      <c r="G25" t="s">
        <v>29</v>
      </c>
      <c r="H25" t="s">
        <v>30</v>
      </c>
      <c r="I25" t="s">
        <v>30</v>
      </c>
      <c r="J25" t="s">
        <v>39</v>
      </c>
      <c r="K25">
        <v>2210</v>
      </c>
      <c r="L25">
        <v>207</v>
      </c>
      <c r="M25">
        <v>114</v>
      </c>
      <c r="N25">
        <v>0.45</v>
      </c>
      <c r="O25">
        <v>93.2</v>
      </c>
      <c r="P25">
        <v>0.922046373015873</v>
      </c>
      <c r="Q25">
        <v>0.32</v>
      </c>
      <c r="R25" s="36">
        <v>4866</v>
      </c>
      <c r="S25" s="36">
        <v>3866</v>
      </c>
    </row>
    <row r="26" spans="1:19" x14ac:dyDescent="0.55000000000000004">
      <c r="A26" t="s">
        <v>32</v>
      </c>
      <c r="B26" t="s">
        <v>33</v>
      </c>
      <c r="C26" t="s">
        <v>87</v>
      </c>
      <c r="D26" t="s">
        <v>41</v>
      </c>
      <c r="E26" t="s">
        <v>85</v>
      </c>
      <c r="H26" t="s">
        <v>30</v>
      </c>
      <c r="I26" t="s">
        <v>30</v>
      </c>
      <c r="J26" t="s">
        <v>31</v>
      </c>
      <c r="K26">
        <v>16507</v>
      </c>
      <c r="L26">
        <v>207</v>
      </c>
      <c r="M26">
        <v>114</v>
      </c>
      <c r="N26">
        <v>0.45</v>
      </c>
      <c r="O26">
        <v>91.5</v>
      </c>
      <c r="P26">
        <v>0.922046373015873</v>
      </c>
      <c r="Q26">
        <v>0.32</v>
      </c>
      <c r="R26" s="36">
        <v>4866</v>
      </c>
      <c r="S26" s="36">
        <v>3866</v>
      </c>
    </row>
    <row r="27" spans="1:19" x14ac:dyDescent="0.55000000000000004">
      <c r="A27" t="s">
        <v>88</v>
      </c>
      <c r="B27" t="s">
        <v>25</v>
      </c>
      <c r="C27" t="s">
        <v>89</v>
      </c>
      <c r="D27" t="s">
        <v>41</v>
      </c>
      <c r="E27" t="s">
        <v>85</v>
      </c>
      <c r="F27" t="s">
        <v>86</v>
      </c>
      <c r="G27" t="s">
        <v>29</v>
      </c>
      <c r="H27" t="s">
        <v>30</v>
      </c>
      <c r="I27" t="s">
        <v>30</v>
      </c>
      <c r="J27" t="s">
        <v>39</v>
      </c>
      <c r="K27">
        <v>5468</v>
      </c>
      <c r="L27">
        <v>207</v>
      </c>
      <c r="M27">
        <v>114</v>
      </c>
      <c r="N27">
        <v>0.45</v>
      </c>
      <c r="O27">
        <v>93.2</v>
      </c>
      <c r="P27">
        <v>0.922046373015873</v>
      </c>
      <c r="Q27">
        <v>0.32</v>
      </c>
      <c r="R27" s="36">
        <v>4866</v>
      </c>
      <c r="S27" s="36">
        <v>3866</v>
      </c>
    </row>
    <row r="28" spans="1:19" x14ac:dyDescent="0.55000000000000004">
      <c r="A28" t="s">
        <v>32</v>
      </c>
      <c r="B28" t="s">
        <v>33</v>
      </c>
      <c r="C28" t="s">
        <v>90</v>
      </c>
      <c r="D28" t="s">
        <v>59</v>
      </c>
      <c r="E28" t="s">
        <v>91</v>
      </c>
      <c r="H28" t="s">
        <v>31</v>
      </c>
      <c r="I28" t="s">
        <v>30</v>
      </c>
      <c r="J28" t="s">
        <v>30</v>
      </c>
      <c r="K28">
        <v>8789</v>
      </c>
      <c r="L28">
        <v>245</v>
      </c>
      <c r="M28">
        <v>149</v>
      </c>
      <c r="N28">
        <v>0.39</v>
      </c>
      <c r="O28">
        <v>97.5</v>
      </c>
      <c r="P28">
        <v>0.71478052702702721</v>
      </c>
      <c r="Q28">
        <v>0</v>
      </c>
      <c r="R28" s="36">
        <v>6916</v>
      </c>
      <c r="S28" s="36">
        <v>4516</v>
      </c>
    </row>
    <row r="29" spans="1:19" x14ac:dyDescent="0.55000000000000004">
      <c r="A29" t="s">
        <v>92</v>
      </c>
      <c r="B29" t="s">
        <v>93</v>
      </c>
      <c r="C29" t="s">
        <v>94</v>
      </c>
      <c r="D29" t="s">
        <v>95</v>
      </c>
      <c r="E29" t="s">
        <v>96</v>
      </c>
      <c r="F29" t="s">
        <v>97</v>
      </c>
      <c r="G29" t="s">
        <v>29</v>
      </c>
      <c r="L29">
        <v>192</v>
      </c>
      <c r="M29">
        <v>98</v>
      </c>
      <c r="N29">
        <v>0.49</v>
      </c>
      <c r="O29">
        <v>36.799999999999997</v>
      </c>
      <c r="P29">
        <v>0.75823059154929628</v>
      </c>
      <c r="Q29">
        <v>0.87</v>
      </c>
      <c r="R29" s="34"/>
      <c r="S29" s="34"/>
    </row>
    <row r="30" spans="1:19" x14ac:dyDescent="0.55000000000000004">
      <c r="A30" t="s">
        <v>75</v>
      </c>
      <c r="B30" t="s">
        <v>64</v>
      </c>
      <c r="C30" t="s">
        <v>98</v>
      </c>
      <c r="D30" t="s">
        <v>95</v>
      </c>
      <c r="E30" t="s">
        <v>99</v>
      </c>
      <c r="F30" t="s">
        <v>97</v>
      </c>
      <c r="G30" t="s">
        <v>29</v>
      </c>
      <c r="L30">
        <v>181</v>
      </c>
      <c r="M30">
        <v>154</v>
      </c>
      <c r="N30">
        <v>0.15</v>
      </c>
      <c r="O30">
        <v>51.2</v>
      </c>
      <c r="P30">
        <v>0.75823059154929628</v>
      </c>
      <c r="Q30">
        <v>0.88</v>
      </c>
      <c r="R30" s="34"/>
      <c r="S30" s="34"/>
    </row>
    <row r="31" spans="1:19" x14ac:dyDescent="0.55000000000000004">
      <c r="A31" t="s">
        <v>32</v>
      </c>
      <c r="B31" t="s">
        <v>64</v>
      </c>
      <c r="C31" t="s">
        <v>100</v>
      </c>
      <c r="D31" t="s">
        <v>41</v>
      </c>
      <c r="E31" t="s">
        <v>101</v>
      </c>
      <c r="H31" t="s">
        <v>30</v>
      </c>
      <c r="I31" t="s">
        <v>31</v>
      </c>
      <c r="J31" t="s">
        <v>30</v>
      </c>
      <c r="K31">
        <v>69227</v>
      </c>
      <c r="L31">
        <v>270</v>
      </c>
      <c r="M31">
        <v>186</v>
      </c>
      <c r="N31">
        <v>0.31</v>
      </c>
      <c r="O31">
        <v>61.5</v>
      </c>
      <c r="P31">
        <v>0.922046373015873</v>
      </c>
      <c r="Q31">
        <v>0.39</v>
      </c>
      <c r="R31" s="36">
        <v>4866</v>
      </c>
      <c r="S31" s="36">
        <v>3866</v>
      </c>
    </row>
    <row r="32" spans="1:19" x14ac:dyDescent="0.55000000000000004">
      <c r="A32" t="s">
        <v>32</v>
      </c>
      <c r="B32" t="s">
        <v>64</v>
      </c>
      <c r="C32" t="s">
        <v>102</v>
      </c>
      <c r="D32" t="s">
        <v>41</v>
      </c>
      <c r="E32" t="s">
        <v>101</v>
      </c>
      <c r="H32" t="s">
        <v>30</v>
      </c>
      <c r="I32" t="s">
        <v>31</v>
      </c>
      <c r="J32" t="s">
        <v>30</v>
      </c>
      <c r="K32">
        <v>41925</v>
      </c>
      <c r="L32">
        <v>270</v>
      </c>
      <c r="M32">
        <v>186</v>
      </c>
      <c r="N32">
        <v>0.31</v>
      </c>
      <c r="O32">
        <v>61.5</v>
      </c>
      <c r="P32">
        <v>0.922046373015873</v>
      </c>
      <c r="Q32">
        <v>0.39</v>
      </c>
      <c r="R32" s="36">
        <v>4866</v>
      </c>
      <c r="S32" s="36">
        <v>3866</v>
      </c>
    </row>
    <row r="33" spans="1:19" x14ac:dyDescent="0.55000000000000004">
      <c r="A33" t="s">
        <v>35</v>
      </c>
      <c r="B33" t="s">
        <v>36</v>
      </c>
      <c r="C33" t="s">
        <v>103</v>
      </c>
      <c r="D33" t="s">
        <v>95</v>
      </c>
      <c r="E33" t="s">
        <v>104</v>
      </c>
      <c r="L33">
        <v>142</v>
      </c>
      <c r="M33">
        <v>108</v>
      </c>
      <c r="N33">
        <v>0.24</v>
      </c>
      <c r="O33">
        <v>89.5</v>
      </c>
      <c r="P33">
        <v>0.75823059154929628</v>
      </c>
      <c r="Q33">
        <v>0.01</v>
      </c>
      <c r="R33" s="34"/>
      <c r="S33" s="34"/>
    </row>
    <row r="34" spans="1:19" x14ac:dyDescent="0.55000000000000004">
      <c r="A34" t="s">
        <v>35</v>
      </c>
      <c r="B34" t="s">
        <v>36</v>
      </c>
      <c r="C34" t="s">
        <v>105</v>
      </c>
      <c r="D34" t="s">
        <v>59</v>
      </c>
      <c r="E34" t="s">
        <v>78</v>
      </c>
      <c r="H34" t="s">
        <v>31</v>
      </c>
      <c r="I34" t="s">
        <v>31</v>
      </c>
      <c r="J34" t="s">
        <v>31</v>
      </c>
      <c r="K34">
        <v>40885</v>
      </c>
      <c r="O34">
        <v>97.7</v>
      </c>
      <c r="P34">
        <v>0.71478052702702721</v>
      </c>
      <c r="Q34">
        <v>0.82</v>
      </c>
      <c r="R34" s="36">
        <v>6916</v>
      </c>
      <c r="S34" s="36">
        <v>4516</v>
      </c>
    </row>
    <row r="35" spans="1:19" x14ac:dyDescent="0.55000000000000004">
      <c r="A35" t="s">
        <v>35</v>
      </c>
      <c r="B35" t="s">
        <v>106</v>
      </c>
      <c r="C35" t="s">
        <v>107</v>
      </c>
      <c r="D35" t="s">
        <v>41</v>
      </c>
      <c r="E35" t="s">
        <v>55</v>
      </c>
      <c r="H35" t="s">
        <v>30</v>
      </c>
      <c r="I35" t="s">
        <v>31</v>
      </c>
      <c r="J35" t="s">
        <v>39</v>
      </c>
      <c r="K35">
        <v>33576</v>
      </c>
      <c r="O35">
        <v>57.8</v>
      </c>
      <c r="P35">
        <v>0.922046373015873</v>
      </c>
      <c r="Q35">
        <v>0.3</v>
      </c>
      <c r="R35" s="36">
        <v>4866</v>
      </c>
      <c r="S35" s="36">
        <v>3866</v>
      </c>
    </row>
  </sheetData>
  <pageMargins left="0.7" right="0.7" top="0.75" bottom="0.75" header="0.3" footer="0.3"/>
  <tableParts count="1">
    <tablePart r:id="rId1"/>
  </tablePart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39"/>
  <sheetViews>
    <sheetView topLeftCell="E7" workbookViewId="0">
      <selection sqref="A1:R2"/>
    </sheetView>
  </sheetViews>
  <sheetFormatPr defaultColWidth="8.83984375" defaultRowHeight="14.4" x14ac:dyDescent="0.55000000000000004"/>
  <cols>
    <col min="1" max="1" width="9.41796875" bestFit="1" customWidth="1"/>
    <col min="3" max="3" width="40.15625" bestFit="1" customWidth="1"/>
    <col min="4" max="4" width="14.41796875" bestFit="1" customWidth="1"/>
    <col min="5" max="5" width="36.68359375" bestFit="1" customWidth="1"/>
    <col min="6" max="8" width="10.41796875" customWidth="1"/>
    <col min="9" max="9" width="11.41796875" bestFit="1" customWidth="1"/>
    <col min="10" max="11" width="10.41796875" customWidth="1"/>
    <col min="12" max="12" width="10.68359375" customWidth="1"/>
    <col min="13" max="13" width="19.41796875" customWidth="1"/>
    <col min="14" max="14" width="10.15625" customWidth="1"/>
    <col min="15" max="15" width="11.83984375" customWidth="1"/>
    <col min="16" max="16" width="16" customWidth="1"/>
    <col min="17" max="17" width="16.83984375" customWidth="1"/>
    <col min="18" max="18" width="19.83984375" customWidth="1"/>
  </cols>
  <sheetData>
    <row r="1" spans="1:18" x14ac:dyDescent="0.55000000000000004">
      <c r="A1" s="3" t="s">
        <v>0</v>
      </c>
      <c r="B1" s="3" t="s">
        <v>1</v>
      </c>
      <c r="C1" s="3" t="s">
        <v>2</v>
      </c>
      <c r="D1" s="3" t="s">
        <v>3</v>
      </c>
      <c r="E1" s="3" t="s">
        <v>4</v>
      </c>
      <c r="F1" s="48" t="s">
        <v>8</v>
      </c>
      <c r="G1" s="49" t="s">
        <v>10</v>
      </c>
      <c r="H1" s="50" t="s">
        <v>12</v>
      </c>
      <c r="I1" s="51" t="s">
        <v>15</v>
      </c>
      <c r="J1" s="50" t="s">
        <v>19</v>
      </c>
      <c r="K1" s="52" t="s">
        <v>124</v>
      </c>
      <c r="L1" s="50" t="s">
        <v>187</v>
      </c>
      <c r="M1" s="50" t="s">
        <v>188</v>
      </c>
      <c r="N1" s="51" t="s">
        <v>204</v>
      </c>
      <c r="O1" s="49" t="s">
        <v>205</v>
      </c>
      <c r="P1" s="53" t="s">
        <v>206</v>
      </c>
      <c r="Q1" s="53" t="s">
        <v>207</v>
      </c>
      <c r="R1" s="54" t="s">
        <v>208</v>
      </c>
    </row>
    <row r="2" spans="1:18" x14ac:dyDescent="0.55000000000000004">
      <c r="A2" t="s">
        <v>24</v>
      </c>
      <c r="B2" t="s">
        <v>25</v>
      </c>
      <c r="C2" t="s">
        <v>26</v>
      </c>
      <c r="D2" t="s">
        <v>27</v>
      </c>
      <c r="E2" t="s">
        <v>28</v>
      </c>
      <c r="F2">
        <f>IF(Table2="Yes",4,2)</f>
        <v>2</v>
      </c>
      <c r="G2">
        <f>IF(Table1[[#This Row],[Flood Risk (FR)]]="Yes",4,2)</f>
        <v>4</v>
      </c>
      <c r="H2">
        <f>IF(Table1[[#This Row],[DAC?]]="Yes",4,2)</f>
        <v>2</v>
      </c>
      <c r="I2">
        <f>IF(Table1[[#This Row],[System GPCD (July 2017)]]&gt;112.97,4,IF(AND(Table1[[#This Row],[System GPCD (July 2017)]]&gt;107.84,Table1[[#This Row],[System GPCD (July 2017)]]&lt;112.97),3,(IF(AND(Table1[[#This Row],[System GPCD (July 2017)]]&gt;97.57,Table1[[#This Row],[System GPCD (July 2017)]]&lt;107.84),2,(IF(Table1[[#This Row],[System GPCD (July 2017)]]&lt;97.57,1))))))</f>
        <v>4</v>
      </c>
      <c r="J2" s="42">
        <f>IF(Table1[[#This Row],[CalEnviroScreen Drinking Water Percentile (avg for zip code) (DWP)]]&gt;683,4,IF(AND(Table1[[#This Row],[CalEnviroScreen Drinking Water Percentile (avg for zip code) (DWP)]]&gt;582,Table1[[#This Row],[CalEnviroScreen Drinking Water Percentile (avg for zip code) (DWP)]]&lt;683),3,(IF(AND(Table1[[#This Row],[CalEnviroScreen Drinking Water Percentile (avg for zip code) (DWP)]]&gt;300,Table1[[#This Row],[CalEnviroScreen Drinking Water Percentile (avg for zip code) (DWP)]]&lt;582),2,(IF(Table1[[#This Row],[CalEnviroScreen Drinking Water Percentile (avg for zip code) (DWP)]]&lt;300,1))))))</f>
        <v>1</v>
      </c>
      <c r="K2">
        <f>IF(Table1[[#This Row],[CA Stream Condition Index]]&lt;0.62,4,IF(AND(Table1[[#This Row],[CA Stream Condition Index]]&gt;0.62,Table1[[#This Row],[CA Stream Condition Index]]&lt;0.79),3,(IF(AND(Table1[[#This Row],[CA Stream Condition Index]]&gt;0.92,Table1[[#This Row],[CA Stream Condition Index]]&lt;0.79),2,(IF(Table1[[#This Row],[CA Stream Condition Index]]&gt;0.92,1))))))</f>
        <v>3</v>
      </c>
      <c r="L2">
        <f>IF(Table1[[#This Row],[Toilet access?]]&gt;45000,4,IF(AND(Table1[[#This Row],[Toilet access?]]&gt;30000,Table1[[#This Row],[Toilet access?]]&lt;45000),3,(IF(AND(Table1[[#This Row],[Toilet access?]]&gt;15000,Table1[[#This Row],[Toilet access?]]&lt;30000),2,(IF(Table1[[#This Row],[Toilet access?]]&lt;15000,1))))))</f>
        <v>1</v>
      </c>
      <c r="M2">
        <f>IF(Table1[[#This Row],[Hot/cold water?]]&gt;45000,4,IF(AND(Table1[[#This Row],[Hot/cold water?]]&gt;30000,Table1[[#This Row],[Hot/cold water?]]&lt;45000),3,(IF(AND(Table1[[#This Row],[Hot/cold water?]]&gt;15000,Table1[[#This Row],[Hot/cold water?]]&lt;30000),2,(IF(Table1[[#This Row],[Hot/cold water?]]&lt;15000,1))))))</f>
        <v>1</v>
      </c>
      <c r="N2">
        <v>3</v>
      </c>
      <c r="O2">
        <v>3</v>
      </c>
      <c r="P2">
        <v>2</v>
      </c>
      <c r="Q2">
        <v>3</v>
      </c>
    </row>
    <row r="3" spans="1:18" x14ac:dyDescent="0.55000000000000004">
      <c r="A3" t="s">
        <v>32</v>
      </c>
      <c r="B3" t="s">
        <v>33</v>
      </c>
      <c r="C3" t="s">
        <v>34</v>
      </c>
      <c r="D3" t="s">
        <v>27</v>
      </c>
      <c r="E3" t="s">
        <v>28</v>
      </c>
      <c r="F3">
        <f>IF(Table2="Yes",4,2)</f>
        <v>2</v>
      </c>
      <c r="G3">
        <f>IF(Table1[[#This Row],[Flood Risk (FR)]]="Yes",4,2)</f>
        <v>4</v>
      </c>
      <c r="H3">
        <f>IF(Table1[[#This Row],[DAC?]]="Yes",4,2)</f>
        <v>2</v>
      </c>
      <c r="I3">
        <f>IF(Table1[[#This Row],[System GPCD (July 2017)]]&gt;112.97,4,IF(AND(Table1[[#This Row],[System GPCD (July 2017)]]&gt;107.84,Table1[[#This Row],[System GPCD (July 2017)]]&lt;112.97),3,(IF(AND(Table1[[#This Row],[System GPCD (July 2017)]]&gt;97.57,Table1[[#This Row],[System GPCD (July 2017)]]&lt;107.84),2,(IF(Table1[[#This Row],[System GPCD (July 2017)]]&lt;97.57,1))))))</f>
        <v>4</v>
      </c>
      <c r="J3" s="42">
        <f>IF(Table1[[#This Row],[CalEnviroScreen Drinking Water Percentile (avg for zip code) (DWP)]]&gt;683,4,IF(AND(Table1[[#This Row],[CalEnviroScreen Drinking Water Percentile (avg for zip code) (DWP)]]&gt;582,Table1[[#This Row],[CalEnviroScreen Drinking Water Percentile (avg for zip code) (DWP)]]&lt;683),3,(IF(AND(Table1[[#This Row],[CalEnviroScreen Drinking Water Percentile (avg for zip code) (DWP)]]&gt;300,Table1[[#This Row],[CalEnviroScreen Drinking Water Percentile (avg for zip code) (DWP)]]&lt;582),2,(IF(Table1[[#This Row],[CalEnviroScreen Drinking Water Percentile (avg for zip code) (DWP)]]&lt;300,1))))))</f>
        <v>1</v>
      </c>
      <c r="K3">
        <f>IF(Table1[[#This Row],[CA Stream Condition Index]]&lt;0.62,4,IF(AND(Table1[[#This Row],[CA Stream Condition Index]]&gt;0.62,Table1[[#This Row],[CA Stream Condition Index]]&lt;0.79),3,(IF(AND(Table1[[#This Row],[CA Stream Condition Index]]&gt;0.92,Table1[[#This Row],[CA Stream Condition Index]]&lt;0.79),2,(IF(Table1[[#This Row],[CA Stream Condition Index]]&gt;0.92,1))))))</f>
        <v>3</v>
      </c>
      <c r="L3">
        <f>IF(Table1[[#This Row],[Toilet access?]]&gt;45000,4,IF(AND(Table1[[#This Row],[Toilet access?]]&gt;30000,Table1[[#This Row],[Toilet access?]]&lt;45000),3,(IF(AND(Table1[[#This Row],[Toilet access?]]&gt;15000,Table1[[#This Row],[Toilet access?]]&lt;30000),2,(IF(Table1[[#This Row],[Toilet access?]]&lt;15000,1))))))</f>
        <v>1</v>
      </c>
      <c r="M3">
        <f>IF(Table1[[#This Row],[Hot/cold water?]]&gt;45000,4,IF(AND(Table1[[#This Row],[Hot/cold water?]]&gt;30000,Table1[[#This Row],[Hot/cold water?]]&lt;45000),3,(IF(AND(Table1[[#This Row],[Hot/cold water?]]&gt;15000,Table1[[#This Row],[Hot/cold water?]]&lt;30000),2,(IF(Table1[[#This Row],[Hot/cold water?]]&lt;15000,1))))))</f>
        <v>1</v>
      </c>
      <c r="N3">
        <v>3</v>
      </c>
      <c r="O3">
        <v>3</v>
      </c>
      <c r="P3">
        <v>2</v>
      </c>
      <c r="Q3">
        <v>3</v>
      </c>
    </row>
    <row r="4" spans="1:18" x14ac:dyDescent="0.55000000000000004">
      <c r="A4" t="s">
        <v>35</v>
      </c>
      <c r="B4" t="s">
        <v>36</v>
      </c>
      <c r="C4" t="s">
        <v>37</v>
      </c>
      <c r="D4" t="s">
        <v>27</v>
      </c>
      <c r="E4" t="s">
        <v>38</v>
      </c>
      <c r="F4">
        <f>IF(Table1[[#This Row],[Water Quality Impaired (WQI)]]="Yes",4,2)</f>
        <v>4</v>
      </c>
      <c r="G4">
        <f>IF(Table1[[#This Row],[Flood Risk (FR)]]="Yes",4,2)</f>
        <v>4</v>
      </c>
      <c r="H4">
        <f>IF(Table1[[#This Row],[DAC?]]="Yes",4,2)</f>
        <v>2</v>
      </c>
      <c r="I4">
        <f>IF(Table1[[#This Row],[System GPCD (July 2017)]]&gt;112.97,4,IF(AND(Table1[[#This Row],[System GPCD (July 2017)]]&gt;107.84,Table1[[#This Row],[System GPCD (July 2017)]]&lt;112.97),3,(IF(AND(Table1[[#This Row],[System GPCD (July 2017)]]&gt;97.57,Table1[[#This Row],[System GPCD (July 2017)]]&lt;107.84),2,(IF(Table1[[#This Row],[System GPCD (July 2017)]]&lt;97.57,1))))))</f>
        <v>4</v>
      </c>
      <c r="J4" s="42">
        <f>IF(Table1[[#This Row],[CalEnviroScreen Drinking Water Percentile (avg for zip code) (DWP)]]&gt;683,4,IF(AND(Table1[[#This Row],[CalEnviroScreen Drinking Water Percentile (avg for zip code) (DWP)]]&gt;582,Table1[[#This Row],[CalEnviroScreen Drinking Water Percentile (avg for zip code) (DWP)]]&lt;683),3,(IF(AND(Table1[[#This Row],[CalEnviroScreen Drinking Water Percentile (avg for zip code) (DWP)]]&gt;300,Table1[[#This Row],[CalEnviroScreen Drinking Water Percentile (avg for zip code) (DWP)]]&lt;582),2,(IF(Table1[[#This Row],[CalEnviroScreen Drinking Water Percentile (avg for zip code) (DWP)]]&lt;300,1))))))</f>
        <v>1</v>
      </c>
      <c r="K4">
        <f>IF(Table1[[#This Row],[CA Stream Condition Index]]&lt;0.62,4,IF(AND(Table1[[#This Row],[CA Stream Condition Index]]&gt;0.62,Table1[[#This Row],[CA Stream Condition Index]]&lt;0.79),3,(IF(AND(Table1[[#This Row],[CA Stream Condition Index]]&gt;0.92,Table1[[#This Row],[CA Stream Condition Index]]&lt;0.79),2,(IF(Table1[[#This Row],[CA Stream Condition Index]]&gt;0.92,1))))))</f>
        <v>3</v>
      </c>
      <c r="L4">
        <f>IF(Table1[[#This Row],[Toilet access?]]&gt;45000,4,IF(AND(Table1[[#This Row],[Toilet access?]]&gt;30000,Table1[[#This Row],[Toilet access?]]&lt;45000),3,(IF(AND(Table1[[#This Row],[Toilet access?]]&gt;15000,Table1[[#This Row],[Toilet access?]]&lt;30000),2,(IF(Table1[[#This Row],[Toilet access?]]&lt;15000,1))))))</f>
        <v>1</v>
      </c>
      <c r="M4">
        <f>IF(Table1[[#This Row],[Hot/cold water?]]&gt;45000,4,IF(AND(Table1[[#This Row],[Hot/cold water?]]&gt;30000,Table1[[#This Row],[Hot/cold water?]]&lt;45000),3,(IF(AND(Table1[[#This Row],[Hot/cold water?]]&gt;15000,Table1[[#This Row],[Hot/cold water?]]&lt;30000),2,(IF(Table1[[#This Row],[Hot/cold water?]]&lt;15000,1))))))</f>
        <v>1</v>
      </c>
      <c r="N4">
        <v>3</v>
      </c>
      <c r="O4">
        <v>3</v>
      </c>
      <c r="P4">
        <v>2</v>
      </c>
      <c r="Q4">
        <v>3</v>
      </c>
    </row>
    <row r="5" spans="1:18" x14ac:dyDescent="0.55000000000000004">
      <c r="A5" t="s">
        <v>32</v>
      </c>
      <c r="B5" t="s">
        <v>33</v>
      </c>
      <c r="C5" t="s">
        <v>40</v>
      </c>
      <c r="D5" t="s">
        <v>41</v>
      </c>
      <c r="E5" t="s">
        <v>42</v>
      </c>
      <c r="F5">
        <f>IF(Table1[[#This Row],[Water Quality Impaired (WQI)]]="Yes",4,2)</f>
        <v>4</v>
      </c>
      <c r="G5">
        <f>IF(Table1[[#This Row],[Flood Risk (FR)]]="Yes",4,2)</f>
        <v>2</v>
      </c>
      <c r="H5">
        <f>IF(Table1[[#This Row],[DAC?]]="Yes",4,2)</f>
        <v>4</v>
      </c>
      <c r="I5">
        <f>IF(Table1[[#This Row],[System GPCD (July 2017)]]&gt;112.97,4,IF(AND(Table1[[#This Row],[System GPCD (July 2017)]]&gt;107.84,Table1[[#This Row],[System GPCD (July 2017)]]&lt;112.97),3,(IF(AND(Table1[[#This Row],[System GPCD (July 2017)]]&gt;97.57,Table1[[#This Row],[System GPCD (July 2017)]]&lt;107.84),2,(IF(Table1[[#This Row],[System GPCD (July 2017)]]&lt;97.57,1))))))</f>
        <v>4</v>
      </c>
      <c r="J5" s="42">
        <f>IF(Table1[[#This Row],[CalEnviroScreen Drinking Water Percentile (avg for zip code) (DWP)]]&gt;683,4,IF(AND(Table1[[#This Row],[CalEnviroScreen Drinking Water Percentile (avg for zip code) (DWP)]]&gt;582,Table1[[#This Row],[CalEnviroScreen Drinking Water Percentile (avg for zip code) (DWP)]]&lt;683),3,(IF(AND(Table1[[#This Row],[CalEnviroScreen Drinking Water Percentile (avg for zip code) (DWP)]]&gt;300,Table1[[#This Row],[CalEnviroScreen Drinking Water Percentile (avg for zip code) (DWP)]]&lt;582),2,(IF(Table1[[#This Row],[CalEnviroScreen Drinking Water Percentile (avg for zip code) (DWP)]]&lt;300,1))))))</f>
        <v>1</v>
      </c>
      <c r="K5">
        <f>IF(Table1[[#This Row],[CA Stream Condition Index]]&lt;0.62,4,IF(AND(Table1[[#This Row],[CA Stream Condition Index]]&gt;0.62,Table1[[#This Row],[CA Stream Condition Index]]&lt;0.79),3,(IF(AND(Table1[[#This Row],[CA Stream Condition Index]]&gt;0.92,Table1[[#This Row],[CA Stream Condition Index]]&lt;0.79),2,(IF(Table1[[#This Row],[CA Stream Condition Index]]&gt;0.92,1))))))</f>
        <v>1</v>
      </c>
      <c r="L5">
        <f>IF(Table1[[#This Row],[Toilet access?]]&gt;45000,4,IF(AND(Table1[[#This Row],[Toilet access?]]&gt;30000,Table1[[#This Row],[Toilet access?]]&lt;45000),3,(IF(AND(Table1[[#This Row],[Toilet access?]]&gt;15000,Table1[[#This Row],[Toilet access?]]&lt;30000),2,(IF(Table1[[#This Row],[Toilet access?]]&lt;15000,1))))))</f>
        <v>1</v>
      </c>
      <c r="M5">
        <f>IF(Table1[[#This Row],[Hot/cold water?]]&gt;45000,4,IF(AND(Table1[[#This Row],[Hot/cold water?]]&gt;30000,Table1[[#This Row],[Hot/cold water?]]&lt;45000),3,(IF(AND(Table1[[#This Row],[Hot/cold water?]]&gt;15000,Table1[[#This Row],[Hot/cold water?]]&lt;30000),2,(IF(Table1[[#This Row],[Hot/cold water?]]&lt;15000,1))))))</f>
        <v>1</v>
      </c>
      <c r="N5">
        <v>3</v>
      </c>
      <c r="O5">
        <v>3</v>
      </c>
      <c r="P5">
        <v>2</v>
      </c>
      <c r="Q5">
        <v>3</v>
      </c>
    </row>
    <row r="6" spans="1:18" x14ac:dyDescent="0.55000000000000004">
      <c r="A6" t="s">
        <v>32</v>
      </c>
      <c r="B6" t="s">
        <v>33</v>
      </c>
      <c r="C6" t="s">
        <v>43</v>
      </c>
      <c r="D6" t="s">
        <v>27</v>
      </c>
      <c r="E6" t="s">
        <v>44</v>
      </c>
      <c r="F6">
        <f>IF(Table1[[#This Row],[Water Quality Impaired (WQI)]]="Yes",4,2)</f>
        <v>4</v>
      </c>
      <c r="G6">
        <f>IF(Table1[[#This Row],[Flood Risk (FR)]]="Yes",4,2)</f>
        <v>4</v>
      </c>
      <c r="H6">
        <f>IF(Table1[[#This Row],[DAC?]]="Yes",4,2)</f>
        <v>2</v>
      </c>
      <c r="I6">
        <f>IF(Table1[[#This Row],[System GPCD (July 2017)]]&gt;112.97,4,IF(AND(Table1[[#This Row],[System GPCD (July 2017)]]&gt;107.84,Table1[[#This Row],[System GPCD (July 2017)]]&lt;112.97),3,(IF(AND(Table1[[#This Row],[System GPCD (July 2017)]]&gt;97.57,Table1[[#This Row],[System GPCD (July 2017)]]&lt;107.84),2,(IF(Table1[[#This Row],[System GPCD (July 2017)]]&lt;97.57,1))))))</f>
        <v>4</v>
      </c>
      <c r="J6" s="42">
        <f>IF(Table1[[#This Row],[CalEnviroScreen Drinking Water Percentile (avg for zip code) (DWP)]]&gt;683,4,IF(AND(Table1[[#This Row],[CalEnviroScreen Drinking Water Percentile (avg for zip code) (DWP)]]&gt;582,Table1[[#This Row],[CalEnviroScreen Drinking Water Percentile (avg for zip code) (DWP)]]&lt;683),3,(IF(AND(Table1[[#This Row],[CalEnviroScreen Drinking Water Percentile (avg for zip code) (DWP)]]&gt;300,Table1[[#This Row],[CalEnviroScreen Drinking Water Percentile (avg for zip code) (DWP)]]&lt;582),2,(IF(Table1[[#This Row],[CalEnviroScreen Drinking Water Percentile (avg for zip code) (DWP)]]&lt;300,1))))))</f>
        <v>1</v>
      </c>
      <c r="K6">
        <f>IF(Table1[[#This Row],[CA Stream Condition Index]]&lt;0.62,4,IF(AND(Table1[[#This Row],[CA Stream Condition Index]]&gt;0.62,Table1[[#This Row],[CA Stream Condition Index]]&lt;0.79),3,(IF(AND(Table1[[#This Row],[CA Stream Condition Index]]&gt;0.92,Table1[[#This Row],[CA Stream Condition Index]]&lt;0.79),2,(IF(Table1[[#This Row],[CA Stream Condition Index]]&gt;0.92,1))))))</f>
        <v>3</v>
      </c>
      <c r="L6">
        <f>IF(Table1[[#This Row],[Toilet access?]]&gt;45000,4,IF(AND(Table1[[#This Row],[Toilet access?]]&gt;30000,Table1[[#This Row],[Toilet access?]]&lt;45000),3,(IF(AND(Table1[[#This Row],[Toilet access?]]&gt;15000,Table1[[#This Row],[Toilet access?]]&lt;30000),2,(IF(Table1[[#This Row],[Toilet access?]]&lt;15000,1))))))</f>
        <v>1</v>
      </c>
      <c r="M6">
        <f>IF(Table1[[#This Row],[Hot/cold water?]]&gt;45000,4,IF(AND(Table1[[#This Row],[Hot/cold water?]]&gt;30000,Table1[[#This Row],[Hot/cold water?]]&lt;45000),3,(IF(AND(Table1[[#This Row],[Hot/cold water?]]&gt;15000,Table1[[#This Row],[Hot/cold water?]]&lt;30000),2,(IF(Table1[[#This Row],[Hot/cold water?]]&lt;15000,1))))))</f>
        <v>1</v>
      </c>
      <c r="N6">
        <v>3</v>
      </c>
      <c r="O6">
        <v>3</v>
      </c>
      <c r="P6">
        <v>2</v>
      </c>
      <c r="Q6">
        <v>3</v>
      </c>
    </row>
    <row r="7" spans="1:18" x14ac:dyDescent="0.55000000000000004">
      <c r="A7" t="s">
        <v>32</v>
      </c>
      <c r="B7" t="s">
        <v>33</v>
      </c>
      <c r="C7" t="s">
        <v>45</v>
      </c>
      <c r="D7" t="s">
        <v>27</v>
      </c>
      <c r="E7" t="s">
        <v>46</v>
      </c>
      <c r="F7">
        <f>IF(Table1[[#This Row],[Water Quality Impaired (WQI)]]="Yes",4,2)</f>
        <v>4</v>
      </c>
      <c r="G7">
        <f>IF(Table1[[#This Row],[Flood Risk (FR)]]="Yes",4,2)</f>
        <v>2</v>
      </c>
      <c r="H7">
        <f>IF(Table1[[#This Row],[DAC?]]="Yes",4,2)</f>
        <v>2</v>
      </c>
      <c r="I7">
        <f>IF(Table1[[#This Row],[System GPCD (July 2017)]]&gt;112.97,4,IF(AND(Table1[[#This Row],[System GPCD (July 2017)]]&gt;107.84,Table1[[#This Row],[System GPCD (July 2017)]]&lt;112.97),3,(IF(AND(Table1[[#This Row],[System GPCD (July 2017)]]&gt;97.57,Table1[[#This Row],[System GPCD (July 2017)]]&lt;107.84),2,(IF(Table1[[#This Row],[System GPCD (July 2017)]]&lt;97.57,1))))))</f>
        <v>4</v>
      </c>
      <c r="J7" s="42">
        <f>IF(Table1[[#This Row],[CalEnviroScreen Drinking Water Percentile (avg for zip code) (DWP)]]&gt;683,4,IF(AND(Table1[[#This Row],[CalEnviroScreen Drinking Water Percentile (avg for zip code) (DWP)]]&gt;582,Table1[[#This Row],[CalEnviroScreen Drinking Water Percentile (avg for zip code) (DWP)]]&lt;683),3,(IF(AND(Table1[[#This Row],[CalEnviroScreen Drinking Water Percentile (avg for zip code) (DWP)]]&gt;300,Table1[[#This Row],[CalEnviroScreen Drinking Water Percentile (avg for zip code) (DWP)]]&lt;582),2,(IF(Table1[[#This Row],[CalEnviroScreen Drinking Water Percentile (avg for zip code) (DWP)]]&lt;300,1))))))</f>
        <v>1</v>
      </c>
      <c r="K7">
        <f>IF(Table1[[#This Row],[CA Stream Condition Index]]&lt;0.62,4,IF(AND(Table1[[#This Row],[CA Stream Condition Index]]&gt;0.62,Table1[[#This Row],[CA Stream Condition Index]]&lt;0.79),3,(IF(AND(Table1[[#This Row],[CA Stream Condition Index]]&gt;0.92,Table1[[#This Row],[CA Stream Condition Index]]&lt;0.79),2,(IF(Table1[[#This Row],[CA Stream Condition Index]]&gt;0.92,1))))))</f>
        <v>3</v>
      </c>
      <c r="L7">
        <f>IF(Table1[[#This Row],[Toilet access?]]&gt;45000,4,IF(AND(Table1[[#This Row],[Toilet access?]]&gt;30000,Table1[[#This Row],[Toilet access?]]&lt;45000),3,(IF(AND(Table1[[#This Row],[Toilet access?]]&gt;15000,Table1[[#This Row],[Toilet access?]]&lt;30000),2,(IF(Table1[[#This Row],[Toilet access?]]&lt;15000,1))))))</f>
        <v>1</v>
      </c>
      <c r="M7">
        <f>IF(Table1[[#This Row],[Hot/cold water?]]&gt;45000,4,IF(AND(Table1[[#This Row],[Hot/cold water?]]&gt;30000,Table1[[#This Row],[Hot/cold water?]]&lt;45000),3,(IF(AND(Table1[[#This Row],[Hot/cold water?]]&gt;15000,Table1[[#This Row],[Hot/cold water?]]&lt;30000),2,(IF(Table1[[#This Row],[Hot/cold water?]]&lt;15000,1))))))</f>
        <v>1</v>
      </c>
      <c r="N7">
        <v>3</v>
      </c>
      <c r="O7">
        <v>3</v>
      </c>
      <c r="P7">
        <v>2</v>
      </c>
      <c r="Q7">
        <v>3</v>
      </c>
    </row>
    <row r="8" spans="1:18" x14ac:dyDescent="0.55000000000000004">
      <c r="A8" t="s">
        <v>32</v>
      </c>
      <c r="B8" t="s">
        <v>33</v>
      </c>
      <c r="C8" t="s">
        <v>47</v>
      </c>
      <c r="D8" t="s">
        <v>41</v>
      </c>
      <c r="E8" t="s">
        <v>48</v>
      </c>
      <c r="F8">
        <f>IF(Table1[[#This Row],[Water Quality Impaired (WQI)]]="Yes",4,2)</f>
        <v>4</v>
      </c>
      <c r="G8">
        <f>IF(Table1[[#This Row],[Flood Risk (FR)]]="Yes",4,2)</f>
        <v>4</v>
      </c>
      <c r="H8">
        <f>IF(Table1[[#This Row],[DAC?]]="Yes",4,2)</f>
        <v>4</v>
      </c>
      <c r="I8">
        <f>IF(Table1[[#This Row],[System GPCD (July 2017)]]&gt;112.97,4,IF(AND(Table1[[#This Row],[System GPCD (July 2017)]]&gt;107.84,Table1[[#This Row],[System GPCD (July 2017)]]&lt;112.97),3,(IF(AND(Table1[[#This Row],[System GPCD (July 2017)]]&gt;97.57,Table1[[#This Row],[System GPCD (July 2017)]]&lt;107.84),2,(IF(Table1[[#This Row],[System GPCD (July 2017)]]&lt;97.57,1))))))</f>
        <v>4</v>
      </c>
      <c r="J8" s="42">
        <f>IF(Table1[[#This Row],[CalEnviroScreen Drinking Water Percentile (avg for zip code) (DWP)]]&gt;683,4,IF(AND(Table1[[#This Row],[CalEnviroScreen Drinking Water Percentile (avg for zip code) (DWP)]]&gt;582,Table1[[#This Row],[CalEnviroScreen Drinking Water Percentile (avg for zip code) (DWP)]]&lt;683),3,(IF(AND(Table1[[#This Row],[CalEnviroScreen Drinking Water Percentile (avg for zip code) (DWP)]]&gt;300,Table1[[#This Row],[CalEnviroScreen Drinking Water Percentile (avg for zip code) (DWP)]]&lt;582),2,(IF(Table1[[#This Row],[CalEnviroScreen Drinking Water Percentile (avg for zip code) (DWP)]]&lt;300,1))))))</f>
        <v>1</v>
      </c>
      <c r="K8">
        <f>IF(Table1[[#This Row],[CA Stream Condition Index]]&lt;0.62,4,IF(AND(Table1[[#This Row],[CA Stream Condition Index]]&gt;0.62,Table1[[#This Row],[CA Stream Condition Index]]&lt;0.79),3,(IF(AND(Table1[[#This Row],[CA Stream Condition Index]]&gt;0.92,Table1[[#This Row],[CA Stream Condition Index]]&lt;0.79),2,(IF(Table1[[#This Row],[CA Stream Condition Index]]&gt;0.92,1))))))</f>
        <v>1</v>
      </c>
      <c r="L8">
        <f>IF(Table1[[#This Row],[Toilet access?]]&gt;45000,4,IF(AND(Table1[[#This Row],[Toilet access?]]&gt;30000,Table1[[#This Row],[Toilet access?]]&lt;45000),3,(IF(AND(Table1[[#This Row],[Toilet access?]]&gt;15000,Table1[[#This Row],[Toilet access?]]&lt;30000),2,(IF(Table1[[#This Row],[Toilet access?]]&lt;15000,1))))))</f>
        <v>1</v>
      </c>
      <c r="M8">
        <f>IF(Table1[[#This Row],[Hot/cold water?]]&gt;45000,4,IF(AND(Table1[[#This Row],[Hot/cold water?]]&gt;30000,Table1[[#This Row],[Hot/cold water?]]&lt;45000),3,(IF(AND(Table1[[#This Row],[Hot/cold water?]]&gt;15000,Table1[[#This Row],[Hot/cold water?]]&lt;30000),2,(IF(Table1[[#This Row],[Hot/cold water?]]&lt;15000,1))))))</f>
        <v>1</v>
      </c>
      <c r="N8">
        <v>3</v>
      </c>
      <c r="O8">
        <v>3</v>
      </c>
      <c r="P8">
        <v>2</v>
      </c>
      <c r="Q8">
        <v>3</v>
      </c>
    </row>
    <row r="9" spans="1:18" x14ac:dyDescent="0.55000000000000004">
      <c r="A9" t="s">
        <v>32</v>
      </c>
      <c r="B9" t="s">
        <v>33</v>
      </c>
      <c r="C9" t="s">
        <v>49</v>
      </c>
      <c r="D9" t="s">
        <v>27</v>
      </c>
      <c r="E9" t="s">
        <v>50</v>
      </c>
      <c r="F9">
        <f>IF(Table1[[#This Row],[Water Quality Impaired (WQI)]]="Yes",4,2)</f>
        <v>4</v>
      </c>
      <c r="G9">
        <f>IF(Table1[[#This Row],[Flood Risk (FR)]]="Yes",4,2)</f>
        <v>2</v>
      </c>
      <c r="H9">
        <f>IF(Table1[[#This Row],[DAC?]]="Yes",4,2)</f>
        <v>2</v>
      </c>
      <c r="I9">
        <f>IF(Table1[[#This Row],[System GPCD (July 2017)]]&gt;112.97,4,IF(AND(Table1[[#This Row],[System GPCD (July 2017)]]&gt;107.84,Table1[[#This Row],[System GPCD (July 2017)]]&lt;112.97),3,(IF(AND(Table1[[#This Row],[System GPCD (July 2017)]]&gt;97.57,Table1[[#This Row],[System GPCD (July 2017)]]&lt;107.84),2,(IF(Table1[[#This Row],[System GPCD (July 2017)]]&lt;97.57,1))))))</f>
        <v>2</v>
      </c>
      <c r="J9" s="42">
        <f>IF(Table1[[#This Row],[CalEnviroScreen Drinking Water Percentile (avg for zip code) (DWP)]]&gt;683,4,IF(AND(Table1[[#This Row],[CalEnviroScreen Drinking Water Percentile (avg for zip code) (DWP)]]&gt;582,Table1[[#This Row],[CalEnviroScreen Drinking Water Percentile (avg for zip code) (DWP)]]&lt;683),3,(IF(AND(Table1[[#This Row],[CalEnviroScreen Drinking Water Percentile (avg for zip code) (DWP)]]&gt;300,Table1[[#This Row],[CalEnviroScreen Drinking Water Percentile (avg for zip code) (DWP)]]&lt;582),2,(IF(Table1[[#This Row],[CalEnviroScreen Drinking Water Percentile (avg for zip code) (DWP)]]&lt;300,1))))))</f>
        <v>1</v>
      </c>
      <c r="K9">
        <f>IF(Table1[[#This Row],[CA Stream Condition Index]]&lt;0.62,4,IF(AND(Table1[[#This Row],[CA Stream Condition Index]]&gt;0.62,Table1[[#This Row],[CA Stream Condition Index]]&lt;0.79),3,(IF(AND(Table1[[#This Row],[CA Stream Condition Index]]&gt;0.92,Table1[[#This Row],[CA Stream Condition Index]]&lt;0.79),2,(IF(Table1[[#This Row],[CA Stream Condition Index]]&gt;0.92,1))))))</f>
        <v>3</v>
      </c>
      <c r="L9">
        <f>IF(Table1[[#This Row],[Toilet access?]]&gt;45000,4,IF(AND(Table1[[#This Row],[Toilet access?]]&gt;30000,Table1[[#This Row],[Toilet access?]]&lt;45000),3,(IF(AND(Table1[[#This Row],[Toilet access?]]&gt;15000,Table1[[#This Row],[Toilet access?]]&lt;30000),2,(IF(Table1[[#This Row],[Toilet access?]]&lt;15000,1))))))</f>
        <v>1</v>
      </c>
      <c r="M9">
        <f>IF(Table1[[#This Row],[Hot/cold water?]]&gt;45000,4,IF(AND(Table1[[#This Row],[Hot/cold water?]]&gt;30000,Table1[[#This Row],[Hot/cold water?]]&lt;45000),3,(IF(AND(Table1[[#This Row],[Hot/cold water?]]&gt;15000,Table1[[#This Row],[Hot/cold water?]]&lt;30000),2,(IF(Table1[[#This Row],[Hot/cold water?]]&lt;15000,1))))))</f>
        <v>1</v>
      </c>
      <c r="N9">
        <v>3</v>
      </c>
      <c r="O9">
        <v>3</v>
      </c>
      <c r="P9">
        <v>2</v>
      </c>
      <c r="Q9">
        <v>3</v>
      </c>
    </row>
    <row r="10" spans="1:18" x14ac:dyDescent="0.55000000000000004">
      <c r="A10" t="s">
        <v>32</v>
      </c>
      <c r="B10" t="s">
        <v>33</v>
      </c>
      <c r="C10" t="s">
        <v>51</v>
      </c>
      <c r="D10" t="s">
        <v>27</v>
      </c>
      <c r="E10" t="s">
        <v>52</v>
      </c>
      <c r="F10">
        <f>IF(Table1[[#This Row],[Water Quality Impaired (WQI)]]="Yes",4,2)</f>
        <v>4</v>
      </c>
      <c r="G10">
        <f>IF(Table1[[#This Row],[Flood Risk (FR)]]="Yes",4,2)</f>
        <v>4</v>
      </c>
      <c r="H10">
        <f>IF(Table1[[#This Row],[DAC?]]="Yes",4,2)</f>
        <v>2</v>
      </c>
      <c r="I10">
        <f>IF(Table1[[#This Row],[System GPCD (July 2017)]]&gt;112.97,4,IF(AND(Table1[[#This Row],[System GPCD (July 2017)]]&gt;107.84,Table1[[#This Row],[System GPCD (July 2017)]]&lt;112.97),3,(IF(AND(Table1[[#This Row],[System GPCD (July 2017)]]&gt;97.57,Table1[[#This Row],[System GPCD (July 2017)]]&lt;107.84),2,(IF(Table1[[#This Row],[System GPCD (July 2017)]]&lt;97.57,1))))))</f>
        <v>4</v>
      </c>
      <c r="J10" s="42">
        <f>IF(Table1[[#This Row],[CalEnviroScreen Drinking Water Percentile (avg for zip code) (DWP)]]&gt;683,4,IF(AND(Table1[[#This Row],[CalEnviroScreen Drinking Water Percentile (avg for zip code) (DWP)]]&gt;582,Table1[[#This Row],[CalEnviroScreen Drinking Water Percentile (avg for zip code) (DWP)]]&lt;683),3,(IF(AND(Table1[[#This Row],[CalEnviroScreen Drinking Water Percentile (avg for zip code) (DWP)]]&gt;300,Table1[[#This Row],[CalEnviroScreen Drinking Water Percentile (avg for zip code) (DWP)]]&lt;582),2,(IF(Table1[[#This Row],[CalEnviroScreen Drinking Water Percentile (avg for zip code) (DWP)]]&lt;300,1))))))</f>
        <v>1</v>
      </c>
      <c r="K10">
        <f>IF(Table1[[#This Row],[CA Stream Condition Index]]&lt;0.62,4,IF(AND(Table1[[#This Row],[CA Stream Condition Index]]&gt;0.62,Table1[[#This Row],[CA Stream Condition Index]]&lt;0.79),3,(IF(AND(Table1[[#This Row],[CA Stream Condition Index]]&gt;0.92,Table1[[#This Row],[CA Stream Condition Index]]&lt;0.79),2,(IF(Table1[[#This Row],[CA Stream Condition Index]]&gt;0.92,1))))))</f>
        <v>3</v>
      </c>
      <c r="L10">
        <f>IF(Table1[[#This Row],[Toilet access?]]&gt;45000,4,IF(AND(Table1[[#This Row],[Toilet access?]]&gt;30000,Table1[[#This Row],[Toilet access?]]&lt;45000),3,(IF(AND(Table1[[#This Row],[Toilet access?]]&gt;15000,Table1[[#This Row],[Toilet access?]]&lt;30000),2,(IF(Table1[[#This Row],[Toilet access?]]&lt;15000,1))))))</f>
        <v>1</v>
      </c>
      <c r="M10">
        <f>IF(Table1[[#This Row],[Hot/cold water?]]&gt;45000,4,IF(AND(Table1[[#This Row],[Hot/cold water?]]&gt;30000,Table1[[#This Row],[Hot/cold water?]]&lt;45000),3,(IF(AND(Table1[[#This Row],[Hot/cold water?]]&gt;15000,Table1[[#This Row],[Hot/cold water?]]&lt;30000),2,(IF(Table1[[#This Row],[Hot/cold water?]]&lt;15000,1))))))</f>
        <v>1</v>
      </c>
      <c r="N10">
        <v>3</v>
      </c>
      <c r="O10">
        <v>3</v>
      </c>
      <c r="P10">
        <v>2</v>
      </c>
      <c r="Q10">
        <v>3</v>
      </c>
    </row>
    <row r="11" spans="1:18" x14ac:dyDescent="0.55000000000000004">
      <c r="A11" t="s">
        <v>32</v>
      </c>
      <c r="B11" t="s">
        <v>33</v>
      </c>
      <c r="C11" t="s">
        <v>53</v>
      </c>
      <c r="D11" t="s">
        <v>27</v>
      </c>
      <c r="E11" t="s">
        <v>52</v>
      </c>
      <c r="F11">
        <f>IF(Table1[[#This Row],[Water Quality Impaired (WQI)]]="Yes",4,2)</f>
        <v>4</v>
      </c>
      <c r="G11">
        <f>IF(Table1[[#This Row],[Flood Risk (FR)]]="Yes",4,2)</f>
        <v>4</v>
      </c>
      <c r="H11">
        <f>IF(Table1[[#This Row],[DAC?]]="Yes",4,2)</f>
        <v>4</v>
      </c>
      <c r="I11">
        <f>IF(Table1[[#This Row],[System GPCD (July 2017)]]&gt;112.97,4,IF(AND(Table1[[#This Row],[System GPCD (July 2017)]]&gt;107.84,Table1[[#This Row],[System GPCD (July 2017)]]&lt;112.97),3,(IF(AND(Table1[[#This Row],[System GPCD (July 2017)]]&gt;97.57,Table1[[#This Row],[System GPCD (July 2017)]]&lt;107.84),2,(IF(Table1[[#This Row],[System GPCD (July 2017)]]&lt;97.57,1))))))</f>
        <v>4</v>
      </c>
      <c r="J11" s="42">
        <f>IF(Table1[[#This Row],[CalEnviroScreen Drinking Water Percentile (avg for zip code) (DWP)]]&gt;683,4,IF(AND(Table1[[#This Row],[CalEnviroScreen Drinking Water Percentile (avg for zip code) (DWP)]]&gt;582,Table1[[#This Row],[CalEnviroScreen Drinking Water Percentile (avg for zip code) (DWP)]]&lt;683),3,(IF(AND(Table1[[#This Row],[CalEnviroScreen Drinking Water Percentile (avg for zip code) (DWP)]]&gt;300,Table1[[#This Row],[CalEnviroScreen Drinking Water Percentile (avg for zip code) (DWP)]]&lt;582),2,(IF(Table1[[#This Row],[CalEnviroScreen Drinking Water Percentile (avg for zip code) (DWP)]]&lt;300,1))))))</f>
        <v>1</v>
      </c>
      <c r="K11">
        <f>IF(Table1[[#This Row],[CA Stream Condition Index]]&lt;0.62,4,IF(AND(Table1[[#This Row],[CA Stream Condition Index]]&gt;0.62,Table1[[#This Row],[CA Stream Condition Index]]&lt;0.79),3,(IF(AND(Table1[[#This Row],[CA Stream Condition Index]]&gt;0.92,Table1[[#This Row],[CA Stream Condition Index]]&lt;0.79),2,(IF(Table1[[#This Row],[CA Stream Condition Index]]&gt;0.92,1))))))</f>
        <v>3</v>
      </c>
      <c r="L11">
        <f>IF(Table1[[#This Row],[Toilet access?]]&gt;45000,4,IF(AND(Table1[[#This Row],[Toilet access?]]&gt;30000,Table1[[#This Row],[Toilet access?]]&lt;45000),3,(IF(AND(Table1[[#This Row],[Toilet access?]]&gt;15000,Table1[[#This Row],[Toilet access?]]&lt;30000),2,(IF(Table1[[#This Row],[Toilet access?]]&lt;15000,1))))))</f>
        <v>1</v>
      </c>
      <c r="M11">
        <f>IF(Table1[[#This Row],[Hot/cold water?]]&gt;45000,4,IF(AND(Table1[[#This Row],[Hot/cold water?]]&gt;30000,Table1[[#This Row],[Hot/cold water?]]&lt;45000),3,(IF(AND(Table1[[#This Row],[Hot/cold water?]]&gt;15000,Table1[[#This Row],[Hot/cold water?]]&lt;30000),2,(IF(Table1[[#This Row],[Hot/cold water?]]&lt;15000,1))))))</f>
        <v>1</v>
      </c>
      <c r="N11">
        <v>3</v>
      </c>
      <c r="O11">
        <v>3</v>
      </c>
      <c r="P11">
        <v>2</v>
      </c>
      <c r="Q11">
        <v>3</v>
      </c>
    </row>
    <row r="12" spans="1:18" x14ac:dyDescent="0.55000000000000004">
      <c r="A12" t="s">
        <v>32</v>
      </c>
      <c r="B12" t="s">
        <v>33</v>
      </c>
      <c r="C12" t="s">
        <v>54</v>
      </c>
      <c r="D12" t="s">
        <v>41</v>
      </c>
      <c r="E12" t="s">
        <v>55</v>
      </c>
      <c r="F12">
        <f>IF(Table1[[#This Row],[Water Quality Impaired (WQI)]]="Yes",4,2)</f>
        <v>4</v>
      </c>
      <c r="G12">
        <f>IF(Table1[[#This Row],[Flood Risk (FR)]]="Yes",4,2)</f>
        <v>2</v>
      </c>
      <c r="H12">
        <f>IF(Table1[[#This Row],[DAC?]]="Yes",4,2)</f>
        <v>4</v>
      </c>
      <c r="I12">
        <f>IF(Table1[[#This Row],[System GPCD (July 2017)]]&gt;112.97,4,IF(AND(Table1[[#This Row],[System GPCD (July 2017)]]&gt;107.84,Table1[[#This Row],[System GPCD (July 2017)]]&lt;112.97),3,(IF(AND(Table1[[#This Row],[System GPCD (July 2017)]]&gt;97.57,Table1[[#This Row],[System GPCD (July 2017)]]&lt;107.84),2,(IF(Table1[[#This Row],[System GPCD (July 2017)]]&lt;97.57,1))))))</f>
        <v>4</v>
      </c>
      <c r="J12" s="42">
        <f>IF(Table1[[#This Row],[CalEnviroScreen Drinking Water Percentile (avg for zip code) (DWP)]]&gt;683,4,IF(AND(Table1[[#This Row],[CalEnviroScreen Drinking Water Percentile (avg for zip code) (DWP)]]&gt;582,Table1[[#This Row],[CalEnviroScreen Drinking Water Percentile (avg for zip code) (DWP)]]&lt;683),3,(IF(AND(Table1[[#This Row],[CalEnviroScreen Drinking Water Percentile (avg for zip code) (DWP)]]&gt;300,Table1[[#This Row],[CalEnviroScreen Drinking Water Percentile (avg for zip code) (DWP)]]&lt;582),2,(IF(Table1[[#This Row],[CalEnviroScreen Drinking Water Percentile (avg for zip code) (DWP)]]&lt;300,1))))))</f>
        <v>1</v>
      </c>
      <c r="K12">
        <f>IF(Table1[[#This Row],[CA Stream Condition Index]]&lt;0.62,4,IF(AND(Table1[[#This Row],[CA Stream Condition Index]]&gt;0.62,Table1[[#This Row],[CA Stream Condition Index]]&lt;0.79),3,(IF(AND(Table1[[#This Row],[CA Stream Condition Index]]&gt;0.92,Table1[[#This Row],[CA Stream Condition Index]]&lt;0.79),2,(IF(Table1[[#This Row],[CA Stream Condition Index]]&gt;0.92,1))))))</f>
        <v>1</v>
      </c>
      <c r="L12">
        <f>IF(Table1[[#This Row],[Toilet access?]]&gt;45000,4,IF(AND(Table1[[#This Row],[Toilet access?]]&gt;30000,Table1[[#This Row],[Toilet access?]]&lt;45000),3,(IF(AND(Table1[[#This Row],[Toilet access?]]&gt;15000,Table1[[#This Row],[Toilet access?]]&lt;30000),2,(IF(Table1[[#This Row],[Toilet access?]]&lt;15000,1))))))</f>
        <v>1</v>
      </c>
      <c r="M12">
        <f>IF(Table1[[#This Row],[Hot/cold water?]]&gt;45000,4,IF(AND(Table1[[#This Row],[Hot/cold water?]]&gt;30000,Table1[[#This Row],[Hot/cold water?]]&lt;45000),3,(IF(AND(Table1[[#This Row],[Hot/cold water?]]&gt;15000,Table1[[#This Row],[Hot/cold water?]]&lt;30000),2,(IF(Table1[[#This Row],[Hot/cold water?]]&lt;15000,1))))))</f>
        <v>1</v>
      </c>
      <c r="N12">
        <v>3</v>
      </c>
      <c r="O12">
        <v>3</v>
      </c>
      <c r="P12">
        <v>2</v>
      </c>
      <c r="Q12">
        <v>3</v>
      </c>
    </row>
    <row r="13" spans="1:18" x14ac:dyDescent="0.55000000000000004">
      <c r="A13" t="s">
        <v>32</v>
      </c>
      <c r="B13" t="s">
        <v>33</v>
      </c>
      <c r="C13" t="s">
        <v>56</v>
      </c>
      <c r="D13" t="s">
        <v>41</v>
      </c>
      <c r="E13" t="s">
        <v>57</v>
      </c>
      <c r="F13">
        <f>IF(Table1[[#This Row],[Water Quality Impaired (WQI)]]="Yes",4,2)</f>
        <v>4</v>
      </c>
      <c r="G13">
        <f>IF(Table1[[#This Row],[Flood Risk (FR)]]="Yes",4,2)</f>
        <v>4</v>
      </c>
      <c r="H13">
        <f>IF(Table1[[#This Row],[DAC?]]="Yes",4,2)</f>
        <v>4</v>
      </c>
      <c r="I13">
        <f>IF(Table1[[#This Row],[System GPCD (July 2017)]]&gt;112.97,4,IF(AND(Table1[[#This Row],[System GPCD (July 2017)]]&gt;107.84,Table1[[#This Row],[System GPCD (July 2017)]]&lt;112.97),3,(IF(AND(Table1[[#This Row],[System GPCD (July 2017)]]&gt;97.57,Table1[[#This Row],[System GPCD (July 2017)]]&lt;107.84),2,(IF(Table1[[#This Row],[System GPCD (July 2017)]]&lt;97.57,1))))))</f>
        <v>4</v>
      </c>
      <c r="J13" s="42">
        <f>IF(Table1[[#This Row],[CalEnviroScreen Drinking Water Percentile (avg for zip code) (DWP)]]&gt;683,4,IF(AND(Table1[[#This Row],[CalEnviroScreen Drinking Water Percentile (avg for zip code) (DWP)]]&gt;582,Table1[[#This Row],[CalEnviroScreen Drinking Water Percentile (avg for zip code) (DWP)]]&lt;683),3,(IF(AND(Table1[[#This Row],[CalEnviroScreen Drinking Water Percentile (avg for zip code) (DWP)]]&gt;300,Table1[[#This Row],[CalEnviroScreen Drinking Water Percentile (avg for zip code) (DWP)]]&lt;582),2,(IF(Table1[[#This Row],[CalEnviroScreen Drinking Water Percentile (avg for zip code) (DWP)]]&lt;300,1))))))</f>
        <v>1</v>
      </c>
      <c r="K13">
        <f>IF(Table1[[#This Row],[CA Stream Condition Index]]&lt;0.62,4,IF(AND(Table1[[#This Row],[CA Stream Condition Index]]&gt;0.62,Table1[[#This Row],[CA Stream Condition Index]]&lt;0.79),3,(IF(AND(Table1[[#This Row],[CA Stream Condition Index]]&gt;0.92,Table1[[#This Row],[CA Stream Condition Index]]&lt;0.79),2,(IF(Table1[[#This Row],[CA Stream Condition Index]]&gt;0.92,1))))))</f>
        <v>1</v>
      </c>
      <c r="L13">
        <f>IF(Table1[[#This Row],[Toilet access?]]&gt;45000,4,IF(AND(Table1[[#This Row],[Toilet access?]]&gt;30000,Table1[[#This Row],[Toilet access?]]&lt;45000),3,(IF(AND(Table1[[#This Row],[Toilet access?]]&gt;15000,Table1[[#This Row],[Toilet access?]]&lt;30000),2,(IF(Table1[[#This Row],[Toilet access?]]&lt;15000,1))))))</f>
        <v>1</v>
      </c>
      <c r="M13">
        <f>IF(Table1[[#This Row],[Hot/cold water?]]&gt;45000,4,IF(AND(Table1[[#This Row],[Hot/cold water?]]&gt;30000,Table1[[#This Row],[Hot/cold water?]]&lt;45000),3,(IF(AND(Table1[[#This Row],[Hot/cold water?]]&gt;15000,Table1[[#This Row],[Hot/cold water?]]&lt;30000),2,(IF(Table1[[#This Row],[Hot/cold water?]]&lt;15000,1))))))</f>
        <v>1</v>
      </c>
      <c r="N13">
        <v>3</v>
      </c>
      <c r="O13">
        <v>3</v>
      </c>
      <c r="P13">
        <v>2</v>
      </c>
      <c r="Q13">
        <v>3</v>
      </c>
    </row>
    <row r="14" spans="1:18" x14ac:dyDescent="0.55000000000000004">
      <c r="A14" t="s">
        <v>32</v>
      </c>
      <c r="B14" t="s">
        <v>33</v>
      </c>
      <c r="C14" t="s">
        <v>58</v>
      </c>
      <c r="D14" t="s">
        <v>59</v>
      </c>
      <c r="E14" t="s">
        <v>60</v>
      </c>
      <c r="F14">
        <f>IF(Table1[[#This Row],[Water Quality Impaired (WQI)]]="Yes",4,2)</f>
        <v>2</v>
      </c>
      <c r="G14">
        <f>IF(Table1[[#This Row],[Flood Risk (FR)]]="Yes",4,2)</f>
        <v>2</v>
      </c>
      <c r="H14">
        <f>IF(Table1[[#This Row],[DAC?]]="Yes",4,2)</f>
        <v>2</v>
      </c>
      <c r="I14">
        <f>IF(Table1[[#This Row],[System GPCD (July 2017)]]&gt;112.97,4,IF(AND(Table1[[#This Row],[System GPCD (July 2017)]]&gt;107.84,Table1[[#This Row],[System GPCD (July 2017)]]&lt;112.97),3,(IF(AND(Table1[[#This Row],[System GPCD (July 2017)]]&gt;97.57,Table1[[#This Row],[System GPCD (July 2017)]]&lt;107.84),2,(IF(Table1[[#This Row],[System GPCD (July 2017)]]&lt;97.57,1))))))</f>
        <v>4</v>
      </c>
      <c r="J14" s="42">
        <f>IF(Table1[[#This Row],[CalEnviroScreen Drinking Water Percentile (avg for zip code) (DWP)]]&gt;683,4,IF(AND(Table1[[#This Row],[CalEnviroScreen Drinking Water Percentile (avg for zip code) (DWP)]]&gt;582,Table1[[#This Row],[CalEnviroScreen Drinking Water Percentile (avg for zip code) (DWP)]]&lt;683),3,(IF(AND(Table1[[#This Row],[CalEnviroScreen Drinking Water Percentile (avg for zip code) (DWP)]]&gt;300,Table1[[#This Row],[CalEnviroScreen Drinking Water Percentile (avg for zip code) (DWP)]]&lt;582),2,(IF(Table1[[#This Row],[CalEnviroScreen Drinking Water Percentile (avg for zip code) (DWP)]]&lt;300,1))))))</f>
        <v>1</v>
      </c>
      <c r="K14">
        <f>IF(Table1[[#This Row],[CA Stream Condition Index]]&lt;0.62,4,IF(AND(Table1[[#This Row],[CA Stream Condition Index]]&gt;0.62,Table1[[#This Row],[CA Stream Condition Index]]&lt;0.79),3,(IF(AND(Table1[[#This Row],[CA Stream Condition Index]]&gt;0.92,Table1[[#This Row],[CA Stream Condition Index]]&lt;0.79),2,(IF(Table1[[#This Row],[CA Stream Condition Index]]&gt;0.92,1))))))</f>
        <v>3</v>
      </c>
      <c r="L14">
        <f>IF(Table1[[#This Row],[Toilet access?]]&gt;45000,4,IF(AND(Table1[[#This Row],[Toilet access?]]&gt;30000,Table1[[#This Row],[Toilet access?]]&lt;45000),3,(IF(AND(Table1[[#This Row],[Toilet access?]]&gt;15000,Table1[[#This Row],[Toilet access?]]&lt;30000),2,(IF(Table1[[#This Row],[Toilet access?]]&lt;15000,1))))))</f>
        <v>1</v>
      </c>
      <c r="M14">
        <f>IF(Table1[[#This Row],[Hot/cold water?]]&gt;45000,4,IF(AND(Table1[[#This Row],[Hot/cold water?]]&gt;30000,Table1[[#This Row],[Hot/cold water?]]&lt;45000),3,(IF(AND(Table1[[#This Row],[Hot/cold water?]]&gt;15000,Table1[[#This Row],[Hot/cold water?]]&lt;30000),2,(IF(Table1[[#This Row],[Hot/cold water?]]&lt;15000,1))))))</f>
        <v>1</v>
      </c>
      <c r="N14">
        <v>3</v>
      </c>
      <c r="O14">
        <v>3</v>
      </c>
      <c r="P14">
        <v>2</v>
      </c>
      <c r="Q14">
        <v>3</v>
      </c>
    </row>
    <row r="15" spans="1:18" x14ac:dyDescent="0.55000000000000004">
      <c r="A15" t="s">
        <v>32</v>
      </c>
      <c r="B15" t="s">
        <v>33</v>
      </c>
      <c r="C15" t="s">
        <v>61</v>
      </c>
      <c r="D15" t="s">
        <v>59</v>
      </c>
      <c r="E15" t="s">
        <v>60</v>
      </c>
      <c r="F15">
        <f>IF(Table1[[#This Row],[Water Quality Impaired (WQI)]]="Yes",4,2)</f>
        <v>2</v>
      </c>
      <c r="G15">
        <f>IF(Table1[[#This Row],[Flood Risk (FR)]]="Yes",4,2)</f>
        <v>2</v>
      </c>
      <c r="H15">
        <f>IF(Table1[[#This Row],[DAC?]]="Yes",4,2)</f>
        <v>2</v>
      </c>
      <c r="I15">
        <f>IF(Table1[[#This Row],[System GPCD (July 2017)]]&gt;112.97,4,IF(AND(Table1[[#This Row],[System GPCD (July 2017)]]&gt;107.84,Table1[[#This Row],[System GPCD (July 2017)]]&lt;112.97),3,(IF(AND(Table1[[#This Row],[System GPCD (July 2017)]]&gt;97.57,Table1[[#This Row],[System GPCD (July 2017)]]&lt;107.84),2,(IF(Table1[[#This Row],[System GPCD (July 2017)]]&lt;97.57,1))))))</f>
        <v>4</v>
      </c>
      <c r="J15" s="42">
        <f>IF(Table1[[#This Row],[CalEnviroScreen Drinking Water Percentile (avg for zip code) (DWP)]]&gt;683,4,IF(AND(Table1[[#This Row],[CalEnviroScreen Drinking Water Percentile (avg for zip code) (DWP)]]&gt;582,Table1[[#This Row],[CalEnviroScreen Drinking Water Percentile (avg for zip code) (DWP)]]&lt;683),3,(IF(AND(Table1[[#This Row],[CalEnviroScreen Drinking Water Percentile (avg for zip code) (DWP)]]&gt;300,Table1[[#This Row],[CalEnviroScreen Drinking Water Percentile (avg for zip code) (DWP)]]&lt;582),2,(IF(Table1[[#This Row],[CalEnviroScreen Drinking Water Percentile (avg for zip code) (DWP)]]&lt;300,1))))))</f>
        <v>1</v>
      </c>
      <c r="K15">
        <f>IF(Table1[[#This Row],[CA Stream Condition Index]]&lt;0.62,4,IF(AND(Table1[[#This Row],[CA Stream Condition Index]]&gt;0.62,Table1[[#This Row],[CA Stream Condition Index]]&lt;0.79),3,(IF(AND(Table1[[#This Row],[CA Stream Condition Index]]&gt;0.92,Table1[[#This Row],[CA Stream Condition Index]]&lt;0.79),2,(IF(Table1[[#This Row],[CA Stream Condition Index]]&gt;0.92,1))))))</f>
        <v>3</v>
      </c>
      <c r="L15">
        <f>IF(Table1[[#This Row],[Toilet access?]]&gt;45000,4,IF(AND(Table1[[#This Row],[Toilet access?]]&gt;30000,Table1[[#This Row],[Toilet access?]]&lt;45000),3,(IF(AND(Table1[[#This Row],[Toilet access?]]&gt;15000,Table1[[#This Row],[Toilet access?]]&lt;30000),2,(IF(Table1[[#This Row],[Toilet access?]]&lt;15000,1))))))</f>
        <v>1</v>
      </c>
      <c r="M15">
        <f>IF(Table1[[#This Row],[Hot/cold water?]]&gt;45000,4,IF(AND(Table1[[#This Row],[Hot/cold water?]]&gt;30000,Table1[[#This Row],[Hot/cold water?]]&lt;45000),3,(IF(AND(Table1[[#This Row],[Hot/cold water?]]&gt;15000,Table1[[#This Row],[Hot/cold water?]]&lt;30000),2,(IF(Table1[[#This Row],[Hot/cold water?]]&lt;15000,1))))))</f>
        <v>1</v>
      </c>
      <c r="N15">
        <v>3</v>
      </c>
      <c r="O15">
        <v>3</v>
      </c>
      <c r="P15">
        <v>2</v>
      </c>
      <c r="Q15">
        <v>3</v>
      </c>
    </row>
    <row r="16" spans="1:18" x14ac:dyDescent="0.55000000000000004">
      <c r="A16" t="s">
        <v>32</v>
      </c>
      <c r="B16" t="s">
        <v>33</v>
      </c>
      <c r="C16" t="s">
        <v>62</v>
      </c>
      <c r="D16" t="s">
        <v>59</v>
      </c>
      <c r="E16" t="s">
        <v>63</v>
      </c>
      <c r="F16">
        <f>IF(Table1[[#This Row],[Water Quality Impaired (WQI)]]="Yes",4,2)</f>
        <v>2</v>
      </c>
      <c r="G16">
        <f>IF(Table1[[#This Row],[Flood Risk (FR)]]="Yes",4,2)</f>
        <v>4</v>
      </c>
      <c r="H16">
        <f>IF(Table1[[#This Row],[DAC?]]="Yes",4,2)</f>
        <v>4</v>
      </c>
      <c r="I16">
        <f>IF(Table1[[#This Row],[System GPCD (July 2017)]]&gt;112.97,4,IF(AND(Table1[[#This Row],[System GPCD (July 2017)]]&gt;107.84,Table1[[#This Row],[System GPCD (July 2017)]]&lt;112.97),3,(IF(AND(Table1[[#This Row],[System GPCD (July 2017)]]&gt;97.57,Table1[[#This Row],[System GPCD (July 2017)]]&lt;107.84),2,(IF(Table1[[#This Row],[System GPCD (July 2017)]]&lt;97.57,1))))))</f>
        <v>4</v>
      </c>
      <c r="J16" s="42">
        <f>IF(Table1[[#This Row],[CalEnviroScreen Drinking Water Percentile (avg for zip code) (DWP)]]&gt;683,4,IF(AND(Table1[[#This Row],[CalEnviroScreen Drinking Water Percentile (avg for zip code) (DWP)]]&gt;582,Table1[[#This Row],[CalEnviroScreen Drinking Water Percentile (avg for zip code) (DWP)]]&lt;683),3,(IF(AND(Table1[[#This Row],[CalEnviroScreen Drinking Water Percentile (avg for zip code) (DWP)]]&gt;300,Table1[[#This Row],[CalEnviroScreen Drinking Water Percentile (avg for zip code) (DWP)]]&lt;582),2,(IF(Table1[[#This Row],[CalEnviroScreen Drinking Water Percentile (avg for zip code) (DWP)]]&lt;300,1))))))</f>
        <v>1</v>
      </c>
      <c r="K16">
        <f>IF(Table1[[#This Row],[CA Stream Condition Index]]&lt;0.62,4,IF(AND(Table1[[#This Row],[CA Stream Condition Index]]&gt;0.62,Table1[[#This Row],[CA Stream Condition Index]]&lt;0.79),3,(IF(AND(Table1[[#This Row],[CA Stream Condition Index]]&gt;0.92,Table1[[#This Row],[CA Stream Condition Index]]&lt;0.79),2,(IF(Table1[[#This Row],[CA Stream Condition Index]]&gt;0.92,1))))))</f>
        <v>3</v>
      </c>
      <c r="L16">
        <f>IF(Table1[[#This Row],[Toilet access?]]&gt;45000,4,IF(AND(Table1[[#This Row],[Toilet access?]]&gt;30000,Table1[[#This Row],[Toilet access?]]&lt;45000),3,(IF(AND(Table1[[#This Row],[Toilet access?]]&gt;15000,Table1[[#This Row],[Toilet access?]]&lt;30000),2,(IF(Table1[[#This Row],[Toilet access?]]&lt;15000,1))))))</f>
        <v>1</v>
      </c>
      <c r="M16">
        <f>IF(Table1[[#This Row],[Hot/cold water?]]&gt;45000,4,IF(AND(Table1[[#This Row],[Hot/cold water?]]&gt;30000,Table1[[#This Row],[Hot/cold water?]]&lt;45000),3,(IF(AND(Table1[[#This Row],[Hot/cold water?]]&gt;15000,Table1[[#This Row],[Hot/cold water?]]&lt;30000),2,(IF(Table1[[#This Row],[Hot/cold water?]]&lt;15000,1))))))</f>
        <v>1</v>
      </c>
      <c r="N16">
        <v>3</v>
      </c>
      <c r="O16">
        <v>3</v>
      </c>
      <c r="P16">
        <v>2</v>
      </c>
      <c r="Q16">
        <v>3</v>
      </c>
    </row>
    <row r="17" spans="1:17" x14ac:dyDescent="0.55000000000000004">
      <c r="A17" t="s">
        <v>32</v>
      </c>
      <c r="B17" t="s">
        <v>64</v>
      </c>
      <c r="C17" t="s">
        <v>65</v>
      </c>
      <c r="D17" t="s">
        <v>41</v>
      </c>
      <c r="E17" t="s">
        <v>66</v>
      </c>
      <c r="F17">
        <f>IF(Table1[[#This Row],[Water Quality Impaired (WQI)]]="Yes",4,2)</f>
        <v>4</v>
      </c>
      <c r="G17">
        <f>IF(Table1[[#This Row],[Flood Risk (FR)]]="Yes",4,2)</f>
        <v>2</v>
      </c>
      <c r="H17">
        <f>IF(Table1[[#This Row],[DAC?]]="Yes",4,2)</f>
        <v>2</v>
      </c>
      <c r="I17">
        <f>IF(Table1[[#This Row],[System GPCD (July 2017)]]&gt;112.97,4,IF(AND(Table1[[#This Row],[System GPCD (July 2017)]]&gt;107.84,Table1[[#This Row],[System GPCD (July 2017)]]&lt;112.97),3,(IF(AND(Table1[[#This Row],[System GPCD (July 2017)]]&gt;97.57,Table1[[#This Row],[System GPCD (July 2017)]]&lt;107.84),2,(IF(Table1[[#This Row],[System GPCD (July 2017)]]&lt;97.57,1))))))</f>
        <v>4</v>
      </c>
      <c r="J17" s="42">
        <f>IF(Table1[[#This Row],[CalEnviroScreen Drinking Water Percentile (avg for zip code) (DWP)]]&gt;683,4,IF(AND(Table1[[#This Row],[CalEnviroScreen Drinking Water Percentile (avg for zip code) (DWP)]]&gt;582,Table1[[#This Row],[CalEnviroScreen Drinking Water Percentile (avg for zip code) (DWP)]]&lt;683),3,(IF(AND(Table1[[#This Row],[CalEnviroScreen Drinking Water Percentile (avg for zip code) (DWP)]]&gt;300,Table1[[#This Row],[CalEnviroScreen Drinking Water Percentile (avg for zip code) (DWP)]]&lt;582),2,(IF(Table1[[#This Row],[CalEnviroScreen Drinking Water Percentile (avg for zip code) (DWP)]]&lt;300,1))))))</f>
        <v>1</v>
      </c>
      <c r="K17">
        <f>IF(Table1[[#This Row],[CA Stream Condition Index]]&lt;0.62,4,IF(AND(Table1[[#This Row],[CA Stream Condition Index]]&gt;0.62,Table1[[#This Row],[CA Stream Condition Index]]&lt;0.79),3,(IF(AND(Table1[[#This Row],[CA Stream Condition Index]]&gt;0.92,Table1[[#This Row],[CA Stream Condition Index]]&lt;0.79),2,(IF(Table1[[#This Row],[CA Stream Condition Index]]&gt;0.92,1))))))</f>
        <v>1</v>
      </c>
      <c r="L17">
        <f>IF(Table1[[#This Row],[Toilet access?]]&gt;45000,4,IF(AND(Table1[[#This Row],[Toilet access?]]&gt;30000,Table1[[#This Row],[Toilet access?]]&lt;45000),3,(IF(AND(Table1[[#This Row],[Toilet access?]]&gt;15000,Table1[[#This Row],[Toilet access?]]&lt;30000),2,(IF(Table1[[#This Row],[Toilet access?]]&lt;15000,1))))))</f>
        <v>1</v>
      </c>
      <c r="M17">
        <f>IF(Table1[[#This Row],[Hot/cold water?]]&gt;45000,4,IF(AND(Table1[[#This Row],[Hot/cold water?]]&gt;30000,Table1[[#This Row],[Hot/cold water?]]&lt;45000),3,(IF(AND(Table1[[#This Row],[Hot/cold water?]]&gt;15000,Table1[[#This Row],[Hot/cold water?]]&lt;30000),2,(IF(Table1[[#This Row],[Hot/cold water?]]&lt;15000,1))))))</f>
        <v>1</v>
      </c>
      <c r="N17">
        <v>3</v>
      </c>
      <c r="O17">
        <v>3</v>
      </c>
      <c r="P17">
        <v>2</v>
      </c>
      <c r="Q17">
        <v>3</v>
      </c>
    </row>
    <row r="18" spans="1:17" x14ac:dyDescent="0.55000000000000004">
      <c r="A18" t="s">
        <v>32</v>
      </c>
      <c r="B18" t="s">
        <v>33</v>
      </c>
      <c r="C18" t="s">
        <v>67</v>
      </c>
      <c r="D18" t="s">
        <v>27</v>
      </c>
      <c r="E18" t="s">
        <v>68</v>
      </c>
      <c r="F18">
        <f>IF(Table1[[#This Row],[Water Quality Impaired (WQI)]]="Yes",4,2)</f>
        <v>4</v>
      </c>
      <c r="G18">
        <f>IF(Table1[[#This Row],[Flood Risk (FR)]]="Yes",4,2)</f>
        <v>4</v>
      </c>
      <c r="H18">
        <f>IF(Table1[[#This Row],[DAC?]]="Yes",4,2)</f>
        <v>2</v>
      </c>
      <c r="I18">
        <f>IF(Table1[[#This Row],[System GPCD (July 2017)]]&gt;112.97,4,IF(AND(Table1[[#This Row],[System GPCD (July 2017)]]&gt;107.84,Table1[[#This Row],[System GPCD (July 2017)]]&lt;112.97),3,(IF(AND(Table1[[#This Row],[System GPCD (July 2017)]]&gt;97.57,Table1[[#This Row],[System GPCD (July 2017)]]&lt;107.84),2,(IF(Table1[[#This Row],[System GPCD (July 2017)]]&lt;97.57,1))))))</f>
        <v>2</v>
      </c>
      <c r="J18" s="42">
        <f>IF(Table1[[#This Row],[CalEnviroScreen Drinking Water Percentile (avg for zip code) (DWP)]]&gt;683,4,IF(AND(Table1[[#This Row],[CalEnviroScreen Drinking Water Percentile (avg for zip code) (DWP)]]&gt;582,Table1[[#This Row],[CalEnviroScreen Drinking Water Percentile (avg for zip code) (DWP)]]&lt;683),3,(IF(AND(Table1[[#This Row],[CalEnviroScreen Drinking Water Percentile (avg for zip code) (DWP)]]&gt;300,Table1[[#This Row],[CalEnviroScreen Drinking Water Percentile (avg for zip code) (DWP)]]&lt;582),2,(IF(Table1[[#This Row],[CalEnviroScreen Drinking Water Percentile (avg for zip code) (DWP)]]&lt;300,1))))))</f>
        <v>1</v>
      </c>
      <c r="K18">
        <f>IF(Table1[[#This Row],[CA Stream Condition Index]]&lt;0.62,4,IF(AND(Table1[[#This Row],[CA Stream Condition Index]]&gt;0.62,Table1[[#This Row],[CA Stream Condition Index]]&lt;0.79),3,(IF(AND(Table1[[#This Row],[CA Stream Condition Index]]&gt;0.92,Table1[[#This Row],[CA Stream Condition Index]]&lt;0.79),2,(IF(Table1[[#This Row],[CA Stream Condition Index]]&gt;0.92,1))))))</f>
        <v>3</v>
      </c>
      <c r="L18">
        <f>IF(Table1[[#This Row],[Toilet access?]]&gt;45000,4,IF(AND(Table1[[#This Row],[Toilet access?]]&gt;30000,Table1[[#This Row],[Toilet access?]]&lt;45000),3,(IF(AND(Table1[[#This Row],[Toilet access?]]&gt;15000,Table1[[#This Row],[Toilet access?]]&lt;30000),2,(IF(Table1[[#This Row],[Toilet access?]]&lt;15000,1))))))</f>
        <v>1</v>
      </c>
      <c r="M18">
        <f>IF(Table1[[#This Row],[Hot/cold water?]]&gt;45000,4,IF(AND(Table1[[#This Row],[Hot/cold water?]]&gt;30000,Table1[[#This Row],[Hot/cold water?]]&lt;45000),3,(IF(AND(Table1[[#This Row],[Hot/cold water?]]&gt;15000,Table1[[#This Row],[Hot/cold water?]]&lt;30000),2,(IF(Table1[[#This Row],[Hot/cold water?]]&lt;15000,1))))))</f>
        <v>1</v>
      </c>
      <c r="N18">
        <v>3</v>
      </c>
      <c r="O18">
        <v>3</v>
      </c>
      <c r="P18">
        <v>2</v>
      </c>
      <c r="Q18">
        <v>3</v>
      </c>
    </row>
    <row r="19" spans="1:17" x14ac:dyDescent="0.55000000000000004">
      <c r="A19" t="s">
        <v>69</v>
      </c>
      <c r="B19" t="s">
        <v>70</v>
      </c>
      <c r="C19" t="s">
        <v>71</v>
      </c>
      <c r="D19" t="s">
        <v>27</v>
      </c>
      <c r="E19" t="s">
        <v>72</v>
      </c>
      <c r="F19">
        <f>IF(Table1[[#This Row],[Water Quality Impaired (WQI)]]="Yes",4,2)</f>
        <v>4</v>
      </c>
      <c r="G19">
        <f>IF(Table1[[#This Row],[Flood Risk (FR)]]="Yes",4,2)</f>
        <v>2</v>
      </c>
      <c r="H19">
        <f>IF(Table1[[#This Row],[DAC?]]="Yes",4,2)</f>
        <v>2</v>
      </c>
      <c r="I19">
        <f>IF(Table1[[#This Row],[System GPCD (July 2017)]]&gt;112.97,4,IF(AND(Table1[[#This Row],[System GPCD (July 2017)]]&gt;107.84,Table1[[#This Row],[System GPCD (July 2017)]]&lt;112.97),3,(IF(AND(Table1[[#This Row],[System GPCD (July 2017)]]&gt;97.57,Table1[[#This Row],[System GPCD (July 2017)]]&lt;107.84),2,(IF(Table1[[#This Row],[System GPCD (July 2017)]]&lt;97.57,1))))))</f>
        <v>4</v>
      </c>
      <c r="J19" s="42">
        <f>IF(Table1[[#This Row],[CalEnviroScreen Drinking Water Percentile (avg for zip code) (DWP)]]&gt;683,4,IF(AND(Table1[[#This Row],[CalEnviroScreen Drinking Water Percentile (avg for zip code) (DWP)]]&gt;582,Table1[[#This Row],[CalEnviroScreen Drinking Water Percentile (avg for zip code) (DWP)]]&lt;683),3,(IF(AND(Table1[[#This Row],[CalEnviroScreen Drinking Water Percentile (avg for zip code) (DWP)]]&gt;300,Table1[[#This Row],[CalEnviroScreen Drinking Water Percentile (avg for zip code) (DWP)]]&lt;582),2,(IF(Table1[[#This Row],[CalEnviroScreen Drinking Water Percentile (avg for zip code) (DWP)]]&lt;300,1))))))</f>
        <v>1</v>
      </c>
      <c r="K19">
        <f>IF(Table1[[#This Row],[CA Stream Condition Index]]&lt;0.62,4,IF(AND(Table1[[#This Row],[CA Stream Condition Index]]&gt;0.62,Table1[[#This Row],[CA Stream Condition Index]]&lt;0.79),3,(IF(AND(Table1[[#This Row],[CA Stream Condition Index]]&gt;0.92,Table1[[#This Row],[CA Stream Condition Index]]&lt;0.79),2,(IF(Table1[[#This Row],[CA Stream Condition Index]]&gt;0.92,1))))))</f>
        <v>3</v>
      </c>
      <c r="L19">
        <f>IF(Table1[[#This Row],[Toilet access?]]&gt;45000,4,IF(AND(Table1[[#This Row],[Toilet access?]]&gt;30000,Table1[[#This Row],[Toilet access?]]&lt;45000),3,(IF(AND(Table1[[#This Row],[Toilet access?]]&gt;15000,Table1[[#This Row],[Toilet access?]]&lt;30000),2,(IF(Table1[[#This Row],[Toilet access?]]&lt;15000,1))))))</f>
        <v>1</v>
      </c>
      <c r="M19">
        <f>IF(Table1[[#This Row],[Hot/cold water?]]&gt;45000,4,IF(AND(Table1[[#This Row],[Hot/cold water?]]&gt;30000,Table1[[#This Row],[Hot/cold water?]]&lt;45000),3,(IF(AND(Table1[[#This Row],[Hot/cold water?]]&gt;15000,Table1[[#This Row],[Hot/cold water?]]&lt;30000),2,(IF(Table1[[#This Row],[Hot/cold water?]]&lt;15000,1))))))</f>
        <v>1</v>
      </c>
      <c r="N19">
        <v>3</v>
      </c>
      <c r="O19">
        <v>3</v>
      </c>
      <c r="P19">
        <v>2</v>
      </c>
      <c r="Q19">
        <v>3</v>
      </c>
    </row>
    <row r="20" spans="1:17" x14ac:dyDescent="0.55000000000000004">
      <c r="A20" t="s">
        <v>32</v>
      </c>
      <c r="B20" t="s">
        <v>33</v>
      </c>
      <c r="C20" t="s">
        <v>73</v>
      </c>
      <c r="D20" t="s">
        <v>27</v>
      </c>
      <c r="E20" t="s">
        <v>72</v>
      </c>
      <c r="F20">
        <f>IF(Table1[[#This Row],[Water Quality Impaired (WQI)]]="Yes",4,2)</f>
        <v>4</v>
      </c>
      <c r="G20">
        <f>IF(Table1[[#This Row],[Flood Risk (FR)]]="Yes",4,2)</f>
        <v>4</v>
      </c>
      <c r="H20">
        <f>IF(Table1[[#This Row],[DAC?]]="Yes",4,2)</f>
        <v>2</v>
      </c>
      <c r="I20">
        <f>IF(Table1[[#This Row],[System GPCD (July 2017)]]&gt;112.97,4,IF(AND(Table1[[#This Row],[System GPCD (July 2017)]]&gt;107.84,Table1[[#This Row],[System GPCD (July 2017)]]&lt;112.97),3,(IF(AND(Table1[[#This Row],[System GPCD (July 2017)]]&gt;97.57,Table1[[#This Row],[System GPCD (July 2017)]]&lt;107.84),2,(IF(Table1[[#This Row],[System GPCD (July 2017)]]&lt;97.57,1))))))</f>
        <v>4</v>
      </c>
      <c r="J20" s="42">
        <f>IF(Table1[[#This Row],[CalEnviroScreen Drinking Water Percentile (avg for zip code) (DWP)]]&gt;683,4,IF(AND(Table1[[#This Row],[CalEnviroScreen Drinking Water Percentile (avg for zip code) (DWP)]]&gt;582,Table1[[#This Row],[CalEnviroScreen Drinking Water Percentile (avg for zip code) (DWP)]]&lt;683),3,(IF(AND(Table1[[#This Row],[CalEnviroScreen Drinking Water Percentile (avg for zip code) (DWP)]]&gt;300,Table1[[#This Row],[CalEnviroScreen Drinking Water Percentile (avg for zip code) (DWP)]]&lt;582),2,(IF(Table1[[#This Row],[CalEnviroScreen Drinking Water Percentile (avg for zip code) (DWP)]]&lt;300,1))))))</f>
        <v>1</v>
      </c>
      <c r="K20">
        <f>IF(Table1[[#This Row],[CA Stream Condition Index]]&lt;0.62,4,IF(AND(Table1[[#This Row],[CA Stream Condition Index]]&gt;0.62,Table1[[#This Row],[CA Stream Condition Index]]&lt;0.79),3,(IF(AND(Table1[[#This Row],[CA Stream Condition Index]]&gt;0.92,Table1[[#This Row],[CA Stream Condition Index]]&lt;0.79),2,(IF(Table1[[#This Row],[CA Stream Condition Index]]&gt;0.92,1))))))</f>
        <v>3</v>
      </c>
      <c r="L20">
        <f>IF(Table1[[#This Row],[Toilet access?]]&gt;45000,4,IF(AND(Table1[[#This Row],[Toilet access?]]&gt;30000,Table1[[#This Row],[Toilet access?]]&lt;45000),3,(IF(AND(Table1[[#This Row],[Toilet access?]]&gt;15000,Table1[[#This Row],[Toilet access?]]&lt;30000),2,(IF(Table1[[#This Row],[Toilet access?]]&lt;15000,1))))))</f>
        <v>1</v>
      </c>
      <c r="M20">
        <f>IF(Table1[[#This Row],[Hot/cold water?]]&gt;45000,4,IF(AND(Table1[[#This Row],[Hot/cold water?]]&gt;30000,Table1[[#This Row],[Hot/cold water?]]&lt;45000),3,(IF(AND(Table1[[#This Row],[Hot/cold water?]]&gt;15000,Table1[[#This Row],[Hot/cold water?]]&lt;30000),2,(IF(Table1[[#This Row],[Hot/cold water?]]&lt;15000,1))))))</f>
        <v>1</v>
      </c>
      <c r="N20">
        <v>3</v>
      </c>
      <c r="O20">
        <v>3</v>
      </c>
      <c r="P20">
        <v>2</v>
      </c>
      <c r="Q20">
        <v>3</v>
      </c>
    </row>
    <row r="21" spans="1:17" x14ac:dyDescent="0.55000000000000004">
      <c r="A21" t="s">
        <v>32</v>
      </c>
      <c r="B21" t="s">
        <v>33</v>
      </c>
      <c r="C21" t="s">
        <v>74</v>
      </c>
      <c r="D21" t="s">
        <v>27</v>
      </c>
      <c r="E21" t="s">
        <v>72</v>
      </c>
      <c r="F21">
        <f>IF(Table1[[#This Row],[Water Quality Impaired (WQI)]]="Yes",4,2)</f>
        <v>4</v>
      </c>
      <c r="G21">
        <f>IF(Table1[[#This Row],[Flood Risk (FR)]]="Yes",4,2)</f>
        <v>2</v>
      </c>
      <c r="H21">
        <f>IF(Table1[[#This Row],[DAC?]]="Yes",4,2)</f>
        <v>2</v>
      </c>
      <c r="I21">
        <f>IF(Table1[[#This Row],[System GPCD (July 2017)]]&gt;112.97,4,IF(AND(Table1[[#This Row],[System GPCD (July 2017)]]&gt;107.84,Table1[[#This Row],[System GPCD (July 2017)]]&lt;112.97),3,(IF(AND(Table1[[#This Row],[System GPCD (July 2017)]]&gt;97.57,Table1[[#This Row],[System GPCD (July 2017)]]&lt;107.84),2,(IF(Table1[[#This Row],[System GPCD (July 2017)]]&lt;97.57,1))))))</f>
        <v>4</v>
      </c>
      <c r="J21" s="42">
        <f>IF(Table1[[#This Row],[CalEnviroScreen Drinking Water Percentile (avg for zip code) (DWP)]]&gt;683,4,IF(AND(Table1[[#This Row],[CalEnviroScreen Drinking Water Percentile (avg for zip code) (DWP)]]&gt;582,Table1[[#This Row],[CalEnviroScreen Drinking Water Percentile (avg for zip code) (DWP)]]&lt;683),3,(IF(AND(Table1[[#This Row],[CalEnviroScreen Drinking Water Percentile (avg for zip code) (DWP)]]&gt;300,Table1[[#This Row],[CalEnviroScreen Drinking Water Percentile (avg for zip code) (DWP)]]&lt;582),2,(IF(Table1[[#This Row],[CalEnviroScreen Drinking Water Percentile (avg for zip code) (DWP)]]&lt;300,1))))))</f>
        <v>1</v>
      </c>
      <c r="K21">
        <f>IF(Table1[[#This Row],[CA Stream Condition Index]]&lt;0.62,4,IF(AND(Table1[[#This Row],[CA Stream Condition Index]]&gt;0.62,Table1[[#This Row],[CA Stream Condition Index]]&lt;0.79),3,(IF(AND(Table1[[#This Row],[CA Stream Condition Index]]&gt;0.92,Table1[[#This Row],[CA Stream Condition Index]]&lt;0.79),2,(IF(Table1[[#This Row],[CA Stream Condition Index]]&gt;0.92,1))))))</f>
        <v>3</v>
      </c>
      <c r="L21">
        <f>IF(Table1[[#This Row],[Toilet access?]]&gt;45000,4,IF(AND(Table1[[#This Row],[Toilet access?]]&gt;30000,Table1[[#This Row],[Toilet access?]]&lt;45000),3,(IF(AND(Table1[[#This Row],[Toilet access?]]&gt;15000,Table1[[#This Row],[Toilet access?]]&lt;30000),2,(IF(Table1[[#This Row],[Toilet access?]]&lt;15000,1))))))</f>
        <v>1</v>
      </c>
      <c r="M21">
        <f>IF(Table1[[#This Row],[Hot/cold water?]]&gt;45000,4,IF(AND(Table1[[#This Row],[Hot/cold water?]]&gt;30000,Table1[[#This Row],[Hot/cold water?]]&lt;45000),3,(IF(AND(Table1[[#This Row],[Hot/cold water?]]&gt;15000,Table1[[#This Row],[Hot/cold water?]]&lt;30000),2,(IF(Table1[[#This Row],[Hot/cold water?]]&lt;15000,1))))))</f>
        <v>1</v>
      </c>
      <c r="N21">
        <v>3</v>
      </c>
      <c r="O21">
        <v>3</v>
      </c>
      <c r="P21">
        <v>2</v>
      </c>
      <c r="Q21">
        <v>3</v>
      </c>
    </row>
    <row r="22" spans="1:17" x14ac:dyDescent="0.55000000000000004">
      <c r="A22" t="s">
        <v>75</v>
      </c>
      <c r="B22" t="s">
        <v>64</v>
      </c>
      <c r="C22" t="s">
        <v>76</v>
      </c>
      <c r="D22" t="s">
        <v>59</v>
      </c>
      <c r="E22" t="s">
        <v>77</v>
      </c>
      <c r="F22">
        <f>IF(Table1[[#This Row],[Water Quality Impaired (WQI)]]="Yes",4,2)</f>
        <v>4</v>
      </c>
      <c r="G22">
        <f>IF(Table1[[#This Row],[Flood Risk (FR)]]="Yes",4,2)</f>
        <v>2</v>
      </c>
      <c r="H22">
        <f>IF(Table1[[#This Row],[DAC?]]="Yes",4,2)</f>
        <v>2</v>
      </c>
      <c r="I22">
        <f>IF(Table1[[#This Row],[System GPCD (July 2017)]]&gt;112.97,4,IF(AND(Table1[[#This Row],[System GPCD (July 2017)]]&gt;107.84,Table1[[#This Row],[System GPCD (July 2017)]]&lt;112.97),3,(IF(AND(Table1[[#This Row],[System GPCD (July 2017)]]&gt;97.57,Table1[[#This Row],[System GPCD (July 2017)]]&lt;107.84),2,(IF(Table1[[#This Row],[System GPCD (July 2017)]]&lt;97.57,1))))))</f>
        <v>4</v>
      </c>
      <c r="J22" s="42">
        <f>IF(Table1[[#This Row],[CalEnviroScreen Drinking Water Percentile (avg for zip code) (DWP)]]&gt;683,4,IF(AND(Table1[[#This Row],[CalEnviroScreen Drinking Water Percentile (avg for zip code) (DWP)]]&gt;582,Table1[[#This Row],[CalEnviroScreen Drinking Water Percentile (avg for zip code) (DWP)]]&lt;683),3,(IF(AND(Table1[[#This Row],[CalEnviroScreen Drinking Water Percentile (avg for zip code) (DWP)]]&gt;300,Table1[[#This Row],[CalEnviroScreen Drinking Water Percentile (avg for zip code) (DWP)]]&lt;582),2,(IF(Table1[[#This Row],[CalEnviroScreen Drinking Water Percentile (avg for zip code) (DWP)]]&lt;300,1))))))</f>
        <v>1</v>
      </c>
      <c r="K22">
        <f>IF(Table1[[#This Row],[CA Stream Condition Index]]&lt;0.62,4,IF(AND(Table1[[#This Row],[CA Stream Condition Index]]&gt;0.62,Table1[[#This Row],[CA Stream Condition Index]]&lt;0.79),3,(IF(AND(Table1[[#This Row],[CA Stream Condition Index]]&gt;0.92,Table1[[#This Row],[CA Stream Condition Index]]&lt;0.79),2,(IF(Table1[[#This Row],[CA Stream Condition Index]]&gt;0.92,1))))))</f>
        <v>3</v>
      </c>
      <c r="L22">
        <f>IF(Table1[[#This Row],[Toilet access?]]&gt;45000,4,IF(AND(Table1[[#This Row],[Toilet access?]]&gt;30000,Table1[[#This Row],[Toilet access?]]&lt;45000),3,(IF(AND(Table1[[#This Row],[Toilet access?]]&gt;15000,Table1[[#This Row],[Toilet access?]]&lt;30000),2,(IF(Table1[[#This Row],[Toilet access?]]&lt;15000,1))))))</f>
        <v>1</v>
      </c>
      <c r="M22">
        <f>IF(Table1[[#This Row],[Hot/cold water?]]&gt;45000,4,IF(AND(Table1[[#This Row],[Hot/cold water?]]&gt;30000,Table1[[#This Row],[Hot/cold water?]]&lt;45000),3,(IF(AND(Table1[[#This Row],[Hot/cold water?]]&gt;15000,Table1[[#This Row],[Hot/cold water?]]&lt;30000),2,(IF(Table1[[#This Row],[Hot/cold water?]]&lt;15000,1))))))</f>
        <v>1</v>
      </c>
      <c r="N22">
        <v>3</v>
      </c>
      <c r="O22">
        <v>3</v>
      </c>
      <c r="P22">
        <v>2</v>
      </c>
      <c r="Q22">
        <v>3</v>
      </c>
    </row>
    <row r="23" spans="1:17" x14ac:dyDescent="0.55000000000000004">
      <c r="A23" t="s">
        <v>32</v>
      </c>
      <c r="B23" t="s">
        <v>33</v>
      </c>
      <c r="C23" t="s">
        <v>79</v>
      </c>
      <c r="D23" t="s">
        <v>27</v>
      </c>
      <c r="E23" t="s">
        <v>80</v>
      </c>
      <c r="F23">
        <f>IF(Table1[[#This Row],[Water Quality Impaired (WQI)]]="Yes",4,2)</f>
        <v>4</v>
      </c>
      <c r="G23">
        <f>IF(Table1[[#This Row],[Flood Risk (FR)]]="Yes",4,2)</f>
        <v>2</v>
      </c>
      <c r="H23">
        <f>IF(Table1[[#This Row],[DAC?]]="Yes",4,2)</f>
        <v>2</v>
      </c>
      <c r="I23">
        <f>IF(Table1[[#This Row],[System GPCD (July 2017)]]&gt;112.97,4,IF(AND(Table1[[#This Row],[System GPCD (July 2017)]]&gt;107.84,Table1[[#This Row],[System GPCD (July 2017)]]&lt;112.97),3,(IF(AND(Table1[[#This Row],[System GPCD (July 2017)]]&gt;97.57,Table1[[#This Row],[System GPCD (July 2017)]]&lt;107.84),2,(IF(Table1[[#This Row],[System GPCD (July 2017)]]&lt;97.57,1))))))</f>
        <v>4</v>
      </c>
      <c r="J23" s="42">
        <f>IF(Table1[[#This Row],[CalEnviroScreen Drinking Water Percentile (avg for zip code) (DWP)]]&gt;683,4,IF(AND(Table1[[#This Row],[CalEnviroScreen Drinking Water Percentile (avg for zip code) (DWP)]]&gt;582,Table1[[#This Row],[CalEnviroScreen Drinking Water Percentile (avg for zip code) (DWP)]]&lt;683),3,(IF(AND(Table1[[#This Row],[CalEnviroScreen Drinking Water Percentile (avg for zip code) (DWP)]]&gt;300,Table1[[#This Row],[CalEnviroScreen Drinking Water Percentile (avg for zip code) (DWP)]]&lt;582),2,(IF(Table1[[#This Row],[CalEnviroScreen Drinking Water Percentile (avg for zip code) (DWP)]]&lt;300,1))))))</f>
        <v>1</v>
      </c>
      <c r="K23">
        <f>IF(Table1[[#This Row],[CA Stream Condition Index]]&lt;0.62,4,IF(AND(Table1[[#This Row],[CA Stream Condition Index]]&gt;0.62,Table1[[#This Row],[CA Stream Condition Index]]&lt;0.79),3,(IF(AND(Table1[[#This Row],[CA Stream Condition Index]]&gt;0.92,Table1[[#This Row],[CA Stream Condition Index]]&lt;0.79),2,(IF(Table1[[#This Row],[CA Stream Condition Index]]&gt;0.92,1))))))</f>
        <v>3</v>
      </c>
      <c r="L23">
        <f>IF(Table1[[#This Row],[Toilet access?]]&gt;45000,4,IF(AND(Table1[[#This Row],[Toilet access?]]&gt;30000,Table1[[#This Row],[Toilet access?]]&lt;45000),3,(IF(AND(Table1[[#This Row],[Toilet access?]]&gt;15000,Table1[[#This Row],[Toilet access?]]&lt;30000),2,(IF(Table1[[#This Row],[Toilet access?]]&lt;15000,1))))))</f>
        <v>1</v>
      </c>
      <c r="M23">
        <f>IF(Table1[[#This Row],[Hot/cold water?]]&gt;45000,4,IF(AND(Table1[[#This Row],[Hot/cold water?]]&gt;30000,Table1[[#This Row],[Hot/cold water?]]&lt;45000),3,(IF(AND(Table1[[#This Row],[Hot/cold water?]]&gt;15000,Table1[[#This Row],[Hot/cold water?]]&lt;30000),2,(IF(Table1[[#This Row],[Hot/cold water?]]&lt;15000,1))))))</f>
        <v>1</v>
      </c>
      <c r="N23">
        <v>3</v>
      </c>
      <c r="O23">
        <v>3</v>
      </c>
      <c r="P23">
        <v>2</v>
      </c>
      <c r="Q23">
        <v>3</v>
      </c>
    </row>
    <row r="24" spans="1:17" x14ac:dyDescent="0.55000000000000004">
      <c r="A24" t="s">
        <v>32</v>
      </c>
      <c r="B24" t="s">
        <v>33</v>
      </c>
      <c r="C24" t="s">
        <v>81</v>
      </c>
      <c r="D24" t="s">
        <v>41</v>
      </c>
      <c r="E24" t="s">
        <v>82</v>
      </c>
      <c r="F24">
        <f>IF(Table1[[#This Row],[Water Quality Impaired (WQI)]]="Yes",4,2)</f>
        <v>4</v>
      </c>
      <c r="G24">
        <f>IF(Table1[[#This Row],[Flood Risk (FR)]]="Yes",4,2)</f>
        <v>2</v>
      </c>
      <c r="H24">
        <f>IF(Table1[[#This Row],[DAC?]]="Yes",4,2)</f>
        <v>4</v>
      </c>
      <c r="I24">
        <f>IF(Table1[[#This Row],[System GPCD (July 2017)]]&gt;112.97,4,IF(AND(Table1[[#This Row],[System GPCD (July 2017)]]&gt;107.84,Table1[[#This Row],[System GPCD (July 2017)]]&lt;112.97),3,(IF(AND(Table1[[#This Row],[System GPCD (July 2017)]]&gt;97.57,Table1[[#This Row],[System GPCD (July 2017)]]&lt;107.84),2,(IF(Table1[[#This Row],[System GPCD (July 2017)]]&lt;97.57,1))))))</f>
        <v>4</v>
      </c>
      <c r="J24" s="42">
        <f>IF(Table1[[#This Row],[CalEnviroScreen Drinking Water Percentile (avg for zip code) (DWP)]]&gt;683,4,IF(AND(Table1[[#This Row],[CalEnviroScreen Drinking Water Percentile (avg for zip code) (DWP)]]&gt;582,Table1[[#This Row],[CalEnviroScreen Drinking Water Percentile (avg for zip code) (DWP)]]&lt;683),3,(IF(AND(Table1[[#This Row],[CalEnviroScreen Drinking Water Percentile (avg for zip code) (DWP)]]&gt;300,Table1[[#This Row],[CalEnviroScreen Drinking Water Percentile (avg for zip code) (DWP)]]&lt;582),2,(IF(Table1[[#This Row],[CalEnviroScreen Drinking Water Percentile (avg for zip code) (DWP)]]&lt;300,1))))))</f>
        <v>1</v>
      </c>
      <c r="K24">
        <f>IF(Table1[[#This Row],[CA Stream Condition Index]]&lt;0.62,4,IF(AND(Table1[[#This Row],[CA Stream Condition Index]]&gt;0.62,Table1[[#This Row],[CA Stream Condition Index]]&lt;0.79),3,(IF(AND(Table1[[#This Row],[CA Stream Condition Index]]&gt;0.92,Table1[[#This Row],[CA Stream Condition Index]]&lt;0.79),2,(IF(Table1[[#This Row],[CA Stream Condition Index]]&gt;0.92,1))))))</f>
        <v>1</v>
      </c>
      <c r="L24">
        <f>IF(Table1[[#This Row],[Toilet access?]]&gt;45000,4,IF(AND(Table1[[#This Row],[Toilet access?]]&gt;30000,Table1[[#This Row],[Toilet access?]]&lt;45000),3,(IF(AND(Table1[[#This Row],[Toilet access?]]&gt;15000,Table1[[#This Row],[Toilet access?]]&lt;30000),2,(IF(Table1[[#This Row],[Toilet access?]]&lt;15000,1))))))</f>
        <v>1</v>
      </c>
      <c r="M24">
        <f>IF(Table1[[#This Row],[Hot/cold water?]]&gt;45000,4,IF(AND(Table1[[#This Row],[Hot/cold water?]]&gt;30000,Table1[[#This Row],[Hot/cold water?]]&lt;45000),3,(IF(AND(Table1[[#This Row],[Hot/cold water?]]&gt;15000,Table1[[#This Row],[Hot/cold water?]]&lt;30000),2,(IF(Table1[[#This Row],[Hot/cold water?]]&lt;15000,1))))))</f>
        <v>1</v>
      </c>
      <c r="N24">
        <v>3</v>
      </c>
      <c r="O24">
        <v>3</v>
      </c>
      <c r="P24">
        <v>2</v>
      </c>
      <c r="Q24">
        <v>3</v>
      </c>
    </row>
    <row r="25" spans="1:17" x14ac:dyDescent="0.55000000000000004">
      <c r="A25" t="s">
        <v>24</v>
      </c>
      <c r="B25" t="s">
        <v>83</v>
      </c>
      <c r="C25" t="s">
        <v>84</v>
      </c>
      <c r="D25" t="s">
        <v>41</v>
      </c>
      <c r="E25" t="s">
        <v>85</v>
      </c>
      <c r="F25">
        <f>IF(Table1[[#This Row],[Water Quality Impaired (WQI)]]="Yes",4,2)</f>
        <v>4</v>
      </c>
      <c r="G25">
        <f>IF(Table1[[#This Row],[Flood Risk (FR)]]="Yes",4,2)</f>
        <v>4</v>
      </c>
      <c r="H25">
        <f>IF(Table1[[#This Row],[DAC?]]="Yes",4,2)</f>
        <v>2</v>
      </c>
      <c r="I25">
        <f>IF(Table1[[#This Row],[System GPCD (July 2017)]]&gt;112.97,4,IF(AND(Table1[[#This Row],[System GPCD (July 2017)]]&gt;107.84,Table1[[#This Row],[System GPCD (July 2017)]]&lt;112.97),3,(IF(AND(Table1[[#This Row],[System GPCD (July 2017)]]&gt;97.57,Table1[[#This Row],[System GPCD (July 2017)]]&lt;107.84),2,(IF(Table1[[#This Row],[System GPCD (July 2017)]]&lt;97.57,1))))))</f>
        <v>4</v>
      </c>
      <c r="J25" s="42">
        <f>IF(Table1[[#This Row],[CalEnviroScreen Drinking Water Percentile (avg for zip code) (DWP)]]&gt;683,4,IF(AND(Table1[[#This Row],[CalEnviroScreen Drinking Water Percentile (avg for zip code) (DWP)]]&gt;582,Table1[[#This Row],[CalEnviroScreen Drinking Water Percentile (avg for zip code) (DWP)]]&lt;683),3,(IF(AND(Table1[[#This Row],[CalEnviroScreen Drinking Water Percentile (avg for zip code) (DWP)]]&gt;300,Table1[[#This Row],[CalEnviroScreen Drinking Water Percentile (avg for zip code) (DWP)]]&lt;582),2,(IF(Table1[[#This Row],[CalEnviroScreen Drinking Water Percentile (avg for zip code) (DWP)]]&lt;300,1))))))</f>
        <v>1</v>
      </c>
      <c r="K25">
        <f>IF(Table1[[#This Row],[CA Stream Condition Index]]&lt;0.62,4,IF(AND(Table1[[#This Row],[CA Stream Condition Index]]&gt;0.62,Table1[[#This Row],[CA Stream Condition Index]]&lt;0.79),3,(IF(AND(Table1[[#This Row],[CA Stream Condition Index]]&gt;0.92,Table1[[#This Row],[CA Stream Condition Index]]&lt;0.79),2,(IF(Table1[[#This Row],[CA Stream Condition Index]]&gt;0.92,1))))))</f>
        <v>1</v>
      </c>
      <c r="L25">
        <f>IF(Table1[[#This Row],[Toilet access?]]&gt;45000,4,IF(AND(Table1[[#This Row],[Toilet access?]]&gt;30000,Table1[[#This Row],[Toilet access?]]&lt;45000),3,(IF(AND(Table1[[#This Row],[Toilet access?]]&gt;15000,Table1[[#This Row],[Toilet access?]]&lt;30000),2,(IF(Table1[[#This Row],[Toilet access?]]&lt;15000,1))))))</f>
        <v>1</v>
      </c>
      <c r="M25">
        <f>IF(Table1[[#This Row],[Hot/cold water?]]&gt;45000,4,IF(AND(Table1[[#This Row],[Hot/cold water?]]&gt;30000,Table1[[#This Row],[Hot/cold water?]]&lt;45000),3,(IF(AND(Table1[[#This Row],[Hot/cold water?]]&gt;15000,Table1[[#This Row],[Hot/cold water?]]&lt;30000),2,(IF(Table1[[#This Row],[Hot/cold water?]]&lt;15000,1))))))</f>
        <v>1</v>
      </c>
      <c r="N25">
        <v>3</v>
      </c>
      <c r="O25">
        <v>3</v>
      </c>
      <c r="P25">
        <v>2</v>
      </c>
      <c r="Q25">
        <v>3</v>
      </c>
    </row>
    <row r="26" spans="1:17" x14ac:dyDescent="0.55000000000000004">
      <c r="A26" t="s">
        <v>32</v>
      </c>
      <c r="B26" t="s">
        <v>33</v>
      </c>
      <c r="C26" t="s">
        <v>87</v>
      </c>
      <c r="D26" t="s">
        <v>41</v>
      </c>
      <c r="E26" t="s">
        <v>85</v>
      </c>
      <c r="F26">
        <f>IF(Table1[[#This Row],[Water Quality Impaired (WQI)]]="Yes",4,2)</f>
        <v>4</v>
      </c>
      <c r="G26">
        <f>IF(Table1[[#This Row],[Flood Risk (FR)]]="Yes",4,2)</f>
        <v>4</v>
      </c>
      <c r="H26">
        <f>IF(Table1[[#This Row],[DAC?]]="Yes",4,2)</f>
        <v>2</v>
      </c>
      <c r="I26">
        <f>IF(Table1[[#This Row],[System GPCD (July 2017)]]&gt;112.97,4,IF(AND(Table1[[#This Row],[System GPCD (July 2017)]]&gt;107.84,Table1[[#This Row],[System GPCD (July 2017)]]&lt;112.97),3,(IF(AND(Table1[[#This Row],[System GPCD (July 2017)]]&gt;97.57,Table1[[#This Row],[System GPCD (July 2017)]]&lt;107.84),2,(IF(Table1[[#This Row],[System GPCD (July 2017)]]&lt;97.57,1))))))</f>
        <v>4</v>
      </c>
      <c r="J26" s="42">
        <f>IF(Table1[[#This Row],[CalEnviroScreen Drinking Water Percentile (avg for zip code) (DWP)]]&gt;683,4,IF(AND(Table1[[#This Row],[CalEnviroScreen Drinking Water Percentile (avg for zip code) (DWP)]]&gt;582,Table1[[#This Row],[CalEnviroScreen Drinking Water Percentile (avg for zip code) (DWP)]]&lt;683),3,(IF(AND(Table1[[#This Row],[CalEnviroScreen Drinking Water Percentile (avg for zip code) (DWP)]]&gt;300,Table1[[#This Row],[CalEnviroScreen Drinking Water Percentile (avg for zip code) (DWP)]]&lt;582),2,(IF(Table1[[#This Row],[CalEnviroScreen Drinking Water Percentile (avg for zip code) (DWP)]]&lt;300,1))))))</f>
        <v>1</v>
      </c>
      <c r="K26">
        <f>IF(Table1[[#This Row],[CA Stream Condition Index]]&lt;0.62,4,IF(AND(Table1[[#This Row],[CA Stream Condition Index]]&gt;0.62,Table1[[#This Row],[CA Stream Condition Index]]&lt;0.79),3,(IF(AND(Table1[[#This Row],[CA Stream Condition Index]]&gt;0.92,Table1[[#This Row],[CA Stream Condition Index]]&lt;0.79),2,(IF(Table1[[#This Row],[CA Stream Condition Index]]&gt;0.92,1))))))</f>
        <v>1</v>
      </c>
      <c r="L26">
        <f>IF(Table1[[#This Row],[Toilet access?]]&gt;45000,4,IF(AND(Table1[[#This Row],[Toilet access?]]&gt;30000,Table1[[#This Row],[Toilet access?]]&lt;45000),3,(IF(AND(Table1[[#This Row],[Toilet access?]]&gt;15000,Table1[[#This Row],[Toilet access?]]&lt;30000),2,(IF(Table1[[#This Row],[Toilet access?]]&lt;15000,1))))))</f>
        <v>1</v>
      </c>
      <c r="M26">
        <f>IF(Table1[[#This Row],[Hot/cold water?]]&gt;45000,4,IF(AND(Table1[[#This Row],[Hot/cold water?]]&gt;30000,Table1[[#This Row],[Hot/cold water?]]&lt;45000),3,(IF(AND(Table1[[#This Row],[Hot/cold water?]]&gt;15000,Table1[[#This Row],[Hot/cold water?]]&lt;30000),2,(IF(Table1[[#This Row],[Hot/cold water?]]&lt;15000,1))))))</f>
        <v>1</v>
      </c>
      <c r="N26">
        <v>3</v>
      </c>
      <c r="O26">
        <v>3</v>
      </c>
      <c r="P26">
        <v>2</v>
      </c>
      <c r="Q26">
        <v>3</v>
      </c>
    </row>
    <row r="27" spans="1:17" x14ac:dyDescent="0.55000000000000004">
      <c r="A27" t="s">
        <v>88</v>
      </c>
      <c r="B27" t="s">
        <v>25</v>
      </c>
      <c r="C27" t="s">
        <v>89</v>
      </c>
      <c r="D27" t="s">
        <v>41</v>
      </c>
      <c r="E27" t="s">
        <v>85</v>
      </c>
      <c r="F27">
        <f>IF(Table1[[#This Row],[Water Quality Impaired (WQI)]]="Yes",4,2)</f>
        <v>4</v>
      </c>
      <c r="G27">
        <f>IF(Table1[[#This Row],[Flood Risk (FR)]]="Yes",4,2)</f>
        <v>4</v>
      </c>
      <c r="H27">
        <f>IF(Table1[[#This Row],[DAC?]]="Yes",4,2)</f>
        <v>2</v>
      </c>
      <c r="I27">
        <f>IF(Table1[[#This Row],[System GPCD (July 2017)]]&gt;112.97,4,IF(AND(Table1[[#This Row],[System GPCD (July 2017)]]&gt;107.84,Table1[[#This Row],[System GPCD (July 2017)]]&lt;112.97),3,(IF(AND(Table1[[#This Row],[System GPCD (July 2017)]]&gt;97.57,Table1[[#This Row],[System GPCD (July 2017)]]&lt;107.84),2,(IF(Table1[[#This Row],[System GPCD (July 2017)]]&lt;97.57,1))))))</f>
        <v>4</v>
      </c>
      <c r="J27" s="42">
        <f>IF(Table1[[#This Row],[CalEnviroScreen Drinking Water Percentile (avg for zip code) (DWP)]]&gt;683,4,IF(AND(Table1[[#This Row],[CalEnviroScreen Drinking Water Percentile (avg for zip code) (DWP)]]&gt;582,Table1[[#This Row],[CalEnviroScreen Drinking Water Percentile (avg for zip code) (DWP)]]&lt;683),3,(IF(AND(Table1[[#This Row],[CalEnviroScreen Drinking Water Percentile (avg for zip code) (DWP)]]&gt;300,Table1[[#This Row],[CalEnviroScreen Drinking Water Percentile (avg for zip code) (DWP)]]&lt;582),2,(IF(Table1[[#This Row],[CalEnviroScreen Drinking Water Percentile (avg for zip code) (DWP)]]&lt;300,1))))))</f>
        <v>1</v>
      </c>
      <c r="K27">
        <f>IF(Table1[[#This Row],[CA Stream Condition Index]]&lt;0.62,4,IF(AND(Table1[[#This Row],[CA Stream Condition Index]]&gt;0.62,Table1[[#This Row],[CA Stream Condition Index]]&lt;0.79),3,(IF(AND(Table1[[#This Row],[CA Stream Condition Index]]&gt;0.92,Table1[[#This Row],[CA Stream Condition Index]]&lt;0.79),2,(IF(Table1[[#This Row],[CA Stream Condition Index]]&gt;0.92,1))))))</f>
        <v>1</v>
      </c>
      <c r="L27">
        <f>IF(Table1[[#This Row],[Toilet access?]]&gt;45000,4,IF(AND(Table1[[#This Row],[Toilet access?]]&gt;30000,Table1[[#This Row],[Toilet access?]]&lt;45000),3,(IF(AND(Table1[[#This Row],[Toilet access?]]&gt;15000,Table1[[#This Row],[Toilet access?]]&lt;30000),2,(IF(Table1[[#This Row],[Toilet access?]]&lt;15000,1))))))</f>
        <v>1</v>
      </c>
      <c r="M27">
        <f>IF(Table1[[#This Row],[Hot/cold water?]]&gt;45000,4,IF(AND(Table1[[#This Row],[Hot/cold water?]]&gt;30000,Table1[[#This Row],[Hot/cold water?]]&lt;45000),3,(IF(AND(Table1[[#This Row],[Hot/cold water?]]&gt;15000,Table1[[#This Row],[Hot/cold water?]]&lt;30000),2,(IF(Table1[[#This Row],[Hot/cold water?]]&lt;15000,1))))))</f>
        <v>1</v>
      </c>
      <c r="N27">
        <v>3</v>
      </c>
      <c r="O27">
        <v>3</v>
      </c>
      <c r="P27">
        <v>2</v>
      </c>
      <c r="Q27">
        <v>3</v>
      </c>
    </row>
    <row r="28" spans="1:17" x14ac:dyDescent="0.55000000000000004">
      <c r="A28" t="s">
        <v>32</v>
      </c>
      <c r="B28" t="s">
        <v>33</v>
      </c>
      <c r="C28" t="s">
        <v>90</v>
      </c>
      <c r="D28" t="s">
        <v>59</v>
      </c>
      <c r="E28" t="s">
        <v>91</v>
      </c>
      <c r="F28">
        <f>IF(Table1[[#This Row],[Water Quality Impaired (WQI)]]="Yes",4,2)</f>
        <v>2</v>
      </c>
      <c r="G28">
        <f>IF(Table1[[#This Row],[Flood Risk (FR)]]="Yes",4,2)</f>
        <v>4</v>
      </c>
      <c r="H28">
        <f>IF(Table1[[#This Row],[DAC?]]="Yes",4,2)</f>
        <v>4</v>
      </c>
      <c r="I28">
        <f>IF(Table1[[#This Row],[System GPCD (July 2017)]]&gt;112.97,4,IF(AND(Table1[[#This Row],[System GPCD (July 2017)]]&gt;107.84,Table1[[#This Row],[System GPCD (July 2017)]]&lt;112.97),3,(IF(AND(Table1[[#This Row],[System GPCD (July 2017)]]&gt;97.57,Table1[[#This Row],[System GPCD (July 2017)]]&lt;107.84),2,(IF(Table1[[#This Row],[System GPCD (July 2017)]]&lt;97.57,1))))))</f>
        <v>4</v>
      </c>
      <c r="J28" s="42">
        <f>IF(Table1[[#This Row],[CalEnviroScreen Drinking Water Percentile (avg for zip code) (DWP)]]&gt;683,4,IF(AND(Table1[[#This Row],[CalEnviroScreen Drinking Water Percentile (avg for zip code) (DWP)]]&gt;582,Table1[[#This Row],[CalEnviroScreen Drinking Water Percentile (avg for zip code) (DWP)]]&lt;683),3,(IF(AND(Table1[[#This Row],[CalEnviroScreen Drinking Water Percentile (avg for zip code) (DWP)]]&gt;300,Table1[[#This Row],[CalEnviroScreen Drinking Water Percentile (avg for zip code) (DWP)]]&lt;582),2,(IF(Table1[[#This Row],[CalEnviroScreen Drinking Water Percentile (avg for zip code) (DWP)]]&lt;300,1))))))</f>
        <v>1</v>
      </c>
      <c r="K28">
        <f>IF(Table1[[#This Row],[CA Stream Condition Index]]&lt;0.62,4,IF(AND(Table1[[#This Row],[CA Stream Condition Index]]&gt;0.62,Table1[[#This Row],[CA Stream Condition Index]]&lt;0.79),3,(IF(AND(Table1[[#This Row],[CA Stream Condition Index]]&gt;0.92,Table1[[#This Row],[CA Stream Condition Index]]&lt;0.79),2,(IF(Table1[[#This Row],[CA Stream Condition Index]]&gt;0.92,1))))))</f>
        <v>3</v>
      </c>
      <c r="L28">
        <f>IF(Table1[[#This Row],[Toilet access?]]&gt;45000,4,IF(AND(Table1[[#This Row],[Toilet access?]]&gt;30000,Table1[[#This Row],[Toilet access?]]&lt;45000),3,(IF(AND(Table1[[#This Row],[Toilet access?]]&gt;15000,Table1[[#This Row],[Toilet access?]]&lt;30000),2,(IF(Table1[[#This Row],[Toilet access?]]&lt;15000,1))))))</f>
        <v>1</v>
      </c>
      <c r="M28">
        <f>IF(Table1[[#This Row],[Hot/cold water?]]&gt;45000,4,IF(AND(Table1[[#This Row],[Hot/cold water?]]&gt;30000,Table1[[#This Row],[Hot/cold water?]]&lt;45000),3,(IF(AND(Table1[[#This Row],[Hot/cold water?]]&gt;15000,Table1[[#This Row],[Hot/cold water?]]&lt;30000),2,(IF(Table1[[#This Row],[Hot/cold water?]]&lt;15000,1))))))</f>
        <v>1</v>
      </c>
      <c r="N28">
        <v>3</v>
      </c>
      <c r="O28">
        <v>3</v>
      </c>
      <c r="P28">
        <v>2</v>
      </c>
      <c r="Q28">
        <v>3</v>
      </c>
    </row>
    <row r="29" spans="1:17" x14ac:dyDescent="0.55000000000000004">
      <c r="A29" t="s">
        <v>92</v>
      </c>
      <c r="B29" t="s">
        <v>93</v>
      </c>
      <c r="C29" t="s">
        <v>94</v>
      </c>
      <c r="D29" t="s">
        <v>95</v>
      </c>
      <c r="E29" t="s">
        <v>96</v>
      </c>
      <c r="F29">
        <f>IF(Table1[[#This Row],[Water Quality Impaired (WQI)]]="Yes",4,2)</f>
        <v>2</v>
      </c>
      <c r="G29">
        <f>IF(Table1[[#This Row],[Flood Risk (FR)]]="Yes",4,2)</f>
        <v>2</v>
      </c>
      <c r="H29">
        <f>IF(Table1[[#This Row],[DAC?]]="Yes",4,2)</f>
        <v>2</v>
      </c>
      <c r="I29">
        <f>IF(Table1[[#This Row],[System GPCD (July 2017)]]&gt;112.97,4,IF(AND(Table1[[#This Row],[System GPCD (July 2017)]]&gt;107.84,Table1[[#This Row],[System GPCD (July 2017)]]&lt;112.97),3,(IF(AND(Table1[[#This Row],[System GPCD (July 2017)]]&gt;97.57,Table1[[#This Row],[System GPCD (July 2017)]]&lt;107.84),2,(IF(Table1[[#This Row],[System GPCD (July 2017)]]&lt;97.57,1))))))</f>
        <v>4</v>
      </c>
      <c r="J29" s="42">
        <f>IF(Table1[[#This Row],[CalEnviroScreen Drinking Water Percentile (avg for zip code) (DWP)]]&gt;683,4,IF(AND(Table1[[#This Row],[CalEnviroScreen Drinking Water Percentile (avg for zip code) (DWP)]]&gt;582,Table1[[#This Row],[CalEnviroScreen Drinking Water Percentile (avg for zip code) (DWP)]]&lt;683),3,(IF(AND(Table1[[#This Row],[CalEnviroScreen Drinking Water Percentile (avg for zip code) (DWP)]]&gt;300,Table1[[#This Row],[CalEnviroScreen Drinking Water Percentile (avg for zip code) (DWP)]]&lt;582),2,(IF(Table1[[#This Row],[CalEnviroScreen Drinking Water Percentile (avg for zip code) (DWP)]]&lt;300,1))))))</f>
        <v>1</v>
      </c>
      <c r="K29">
        <f>IF(Table1[[#This Row],[CA Stream Condition Index]]&lt;0.62,4,IF(AND(Table1[[#This Row],[CA Stream Condition Index]]&gt;0.62,Table1[[#This Row],[CA Stream Condition Index]]&lt;0.79),3,(IF(AND(Table1[[#This Row],[CA Stream Condition Index]]&gt;0.92,Table1[[#This Row],[CA Stream Condition Index]]&lt;0.79),2,(IF(Table1[[#This Row],[CA Stream Condition Index]]&gt;0.92,1))))))</f>
        <v>3</v>
      </c>
      <c r="L29">
        <f>IF(Table1[[#This Row],[Toilet access?]]&gt;45000,4,IF(AND(Table1[[#This Row],[Toilet access?]]&gt;30000,Table1[[#This Row],[Toilet access?]]&lt;45000),3,(IF(AND(Table1[[#This Row],[Toilet access?]]&gt;15000,Table1[[#This Row],[Toilet access?]]&lt;30000),2,(IF(Table1[[#This Row],[Toilet access?]]&lt;15000,1))))))</f>
        <v>1</v>
      </c>
      <c r="M29">
        <f>IF(Table1[[#This Row],[Hot/cold water?]]&gt;45000,4,IF(AND(Table1[[#This Row],[Hot/cold water?]]&gt;30000,Table1[[#This Row],[Hot/cold water?]]&lt;45000),3,(IF(AND(Table1[[#This Row],[Hot/cold water?]]&gt;15000,Table1[[#This Row],[Hot/cold water?]]&lt;30000),2,(IF(Table1[[#This Row],[Hot/cold water?]]&lt;15000,1))))))</f>
        <v>1</v>
      </c>
      <c r="N29">
        <v>3</v>
      </c>
      <c r="O29">
        <v>3</v>
      </c>
      <c r="P29">
        <v>2</v>
      </c>
      <c r="Q29">
        <v>3</v>
      </c>
    </row>
    <row r="30" spans="1:17" x14ac:dyDescent="0.55000000000000004">
      <c r="A30" t="s">
        <v>75</v>
      </c>
      <c r="B30" t="s">
        <v>64</v>
      </c>
      <c r="C30" t="s">
        <v>98</v>
      </c>
      <c r="D30" t="s">
        <v>95</v>
      </c>
      <c r="E30" t="s">
        <v>99</v>
      </c>
      <c r="F30">
        <f>IF(Table1[[#This Row],[Water Quality Impaired (WQI)]]="Yes",4,2)</f>
        <v>2</v>
      </c>
      <c r="G30">
        <f>IF(Table1[[#This Row],[Flood Risk (FR)]]="Yes",4,2)</f>
        <v>2</v>
      </c>
      <c r="H30">
        <f>IF(Table1[[#This Row],[DAC?]]="Yes",4,2)</f>
        <v>2</v>
      </c>
      <c r="I30">
        <f>IF(Table1[[#This Row],[System GPCD (July 2017)]]&gt;112.97,4,IF(AND(Table1[[#This Row],[System GPCD (July 2017)]]&gt;107.84,Table1[[#This Row],[System GPCD (July 2017)]]&lt;112.97),3,(IF(AND(Table1[[#This Row],[System GPCD (July 2017)]]&gt;97.57,Table1[[#This Row],[System GPCD (July 2017)]]&lt;107.84),2,(IF(Table1[[#This Row],[System GPCD (July 2017)]]&lt;97.57,1))))))</f>
        <v>4</v>
      </c>
      <c r="J30" s="42">
        <f>IF(Table1[[#This Row],[CalEnviroScreen Drinking Water Percentile (avg for zip code) (DWP)]]&gt;683,4,IF(AND(Table1[[#This Row],[CalEnviroScreen Drinking Water Percentile (avg for zip code) (DWP)]]&gt;582,Table1[[#This Row],[CalEnviroScreen Drinking Water Percentile (avg for zip code) (DWP)]]&lt;683),3,(IF(AND(Table1[[#This Row],[CalEnviroScreen Drinking Water Percentile (avg for zip code) (DWP)]]&gt;300,Table1[[#This Row],[CalEnviroScreen Drinking Water Percentile (avg for zip code) (DWP)]]&lt;582),2,(IF(Table1[[#This Row],[CalEnviroScreen Drinking Water Percentile (avg for zip code) (DWP)]]&lt;300,1))))))</f>
        <v>1</v>
      </c>
      <c r="K30">
        <f>IF(Table1[[#This Row],[CA Stream Condition Index]]&lt;0.62,4,IF(AND(Table1[[#This Row],[CA Stream Condition Index]]&gt;0.62,Table1[[#This Row],[CA Stream Condition Index]]&lt;0.79),3,(IF(AND(Table1[[#This Row],[CA Stream Condition Index]]&gt;0.92,Table1[[#This Row],[CA Stream Condition Index]]&lt;0.79),2,(IF(Table1[[#This Row],[CA Stream Condition Index]]&gt;0.92,1))))))</f>
        <v>3</v>
      </c>
      <c r="L30">
        <f>IF(Table1[[#This Row],[Toilet access?]]&gt;45000,4,IF(AND(Table1[[#This Row],[Toilet access?]]&gt;30000,Table1[[#This Row],[Toilet access?]]&lt;45000),3,(IF(AND(Table1[[#This Row],[Toilet access?]]&gt;15000,Table1[[#This Row],[Toilet access?]]&lt;30000),2,(IF(Table1[[#This Row],[Toilet access?]]&lt;15000,1))))))</f>
        <v>1</v>
      </c>
      <c r="M30">
        <f>IF(Table1[[#This Row],[Hot/cold water?]]&gt;45000,4,IF(AND(Table1[[#This Row],[Hot/cold water?]]&gt;30000,Table1[[#This Row],[Hot/cold water?]]&lt;45000),3,(IF(AND(Table1[[#This Row],[Hot/cold water?]]&gt;15000,Table1[[#This Row],[Hot/cold water?]]&lt;30000),2,(IF(Table1[[#This Row],[Hot/cold water?]]&lt;15000,1))))))</f>
        <v>1</v>
      </c>
      <c r="N30">
        <v>3</v>
      </c>
      <c r="O30">
        <v>3</v>
      </c>
      <c r="P30">
        <v>2</v>
      </c>
      <c r="Q30">
        <v>3</v>
      </c>
    </row>
    <row r="31" spans="1:17" x14ac:dyDescent="0.55000000000000004">
      <c r="A31" t="s">
        <v>32</v>
      </c>
      <c r="B31" t="s">
        <v>64</v>
      </c>
      <c r="C31" t="s">
        <v>100</v>
      </c>
      <c r="D31" t="s">
        <v>41</v>
      </c>
      <c r="E31" t="s">
        <v>101</v>
      </c>
      <c r="F31">
        <f>IF(Table1[[#This Row],[Water Quality Impaired (WQI)]]="Yes",4,2)</f>
        <v>4</v>
      </c>
      <c r="G31">
        <f>IF(Table1[[#This Row],[Flood Risk (FR)]]="Yes",4,2)</f>
        <v>2</v>
      </c>
      <c r="H31">
        <f>IF(Table1[[#This Row],[DAC?]]="Yes",4,2)</f>
        <v>4</v>
      </c>
      <c r="I31">
        <f>IF(Table1[[#This Row],[System GPCD (July 2017)]]&gt;112.97,4,IF(AND(Table1[[#This Row],[System GPCD (July 2017)]]&gt;107.84,Table1[[#This Row],[System GPCD (July 2017)]]&lt;112.97),3,(IF(AND(Table1[[#This Row],[System GPCD (July 2017)]]&gt;97.57,Table1[[#This Row],[System GPCD (July 2017)]]&lt;107.84),2,(IF(Table1[[#This Row],[System GPCD (July 2017)]]&lt;97.57,1))))))</f>
        <v>4</v>
      </c>
      <c r="J31" s="42">
        <f>IF(Table1[[#This Row],[CalEnviroScreen Drinking Water Percentile (avg for zip code) (DWP)]]&gt;683,4,IF(AND(Table1[[#This Row],[CalEnviroScreen Drinking Water Percentile (avg for zip code) (DWP)]]&gt;582,Table1[[#This Row],[CalEnviroScreen Drinking Water Percentile (avg for zip code) (DWP)]]&lt;683),3,(IF(AND(Table1[[#This Row],[CalEnviroScreen Drinking Water Percentile (avg for zip code) (DWP)]]&gt;300,Table1[[#This Row],[CalEnviroScreen Drinking Water Percentile (avg for zip code) (DWP)]]&lt;582),2,(IF(Table1[[#This Row],[CalEnviroScreen Drinking Water Percentile (avg for zip code) (DWP)]]&lt;300,1))))))</f>
        <v>1</v>
      </c>
      <c r="K31">
        <f>IF(Table1[[#This Row],[CA Stream Condition Index]]&lt;0.62,4,IF(AND(Table1[[#This Row],[CA Stream Condition Index]]&gt;0.62,Table1[[#This Row],[CA Stream Condition Index]]&lt;0.79),3,(IF(AND(Table1[[#This Row],[CA Stream Condition Index]]&gt;0.92,Table1[[#This Row],[CA Stream Condition Index]]&lt;0.79),2,(IF(Table1[[#This Row],[CA Stream Condition Index]]&gt;0.92,1))))))</f>
        <v>1</v>
      </c>
      <c r="L31">
        <f>IF(Table1[[#This Row],[Toilet access?]]&gt;45000,4,IF(AND(Table1[[#This Row],[Toilet access?]]&gt;30000,Table1[[#This Row],[Toilet access?]]&lt;45000),3,(IF(AND(Table1[[#This Row],[Toilet access?]]&gt;15000,Table1[[#This Row],[Toilet access?]]&lt;30000),2,(IF(Table1[[#This Row],[Toilet access?]]&lt;15000,1))))))</f>
        <v>1</v>
      </c>
      <c r="M31">
        <f>IF(Table1[[#This Row],[Hot/cold water?]]&gt;45000,4,IF(AND(Table1[[#This Row],[Hot/cold water?]]&gt;30000,Table1[[#This Row],[Hot/cold water?]]&lt;45000),3,(IF(AND(Table1[[#This Row],[Hot/cold water?]]&gt;15000,Table1[[#This Row],[Hot/cold water?]]&lt;30000),2,(IF(Table1[[#This Row],[Hot/cold water?]]&lt;15000,1))))))</f>
        <v>1</v>
      </c>
      <c r="N31">
        <v>3</v>
      </c>
      <c r="O31">
        <v>3</v>
      </c>
      <c r="P31">
        <v>2</v>
      </c>
      <c r="Q31">
        <v>3</v>
      </c>
    </row>
    <row r="32" spans="1:17" x14ac:dyDescent="0.55000000000000004">
      <c r="A32" t="s">
        <v>32</v>
      </c>
      <c r="B32" t="s">
        <v>64</v>
      </c>
      <c r="C32" t="s">
        <v>102</v>
      </c>
      <c r="D32" t="s">
        <v>41</v>
      </c>
      <c r="E32" t="s">
        <v>101</v>
      </c>
      <c r="F32">
        <f>IF(Table1[[#This Row],[Water Quality Impaired (WQI)]]="Yes",4,2)</f>
        <v>4</v>
      </c>
      <c r="G32">
        <f>IF(Table1[[#This Row],[Flood Risk (FR)]]="Yes",4,2)</f>
        <v>2</v>
      </c>
      <c r="H32">
        <f>IF(Table1[[#This Row],[DAC?]]="Yes",4,2)</f>
        <v>4</v>
      </c>
      <c r="I32">
        <f>IF(Table1[[#This Row],[System GPCD (July 2017)]]&gt;112.97,4,IF(AND(Table1[[#This Row],[System GPCD (July 2017)]]&gt;107.84,Table1[[#This Row],[System GPCD (July 2017)]]&lt;112.97),3,(IF(AND(Table1[[#This Row],[System GPCD (July 2017)]]&gt;97.57,Table1[[#This Row],[System GPCD (July 2017)]]&lt;107.84),2,(IF(Table1[[#This Row],[System GPCD (July 2017)]]&lt;97.57,1))))))</f>
        <v>4</v>
      </c>
      <c r="J32" s="42">
        <f>IF(Table1[[#This Row],[CalEnviroScreen Drinking Water Percentile (avg for zip code) (DWP)]]&gt;683,4,IF(AND(Table1[[#This Row],[CalEnviroScreen Drinking Water Percentile (avg for zip code) (DWP)]]&gt;582,Table1[[#This Row],[CalEnviroScreen Drinking Water Percentile (avg for zip code) (DWP)]]&lt;683),3,(IF(AND(Table1[[#This Row],[CalEnviroScreen Drinking Water Percentile (avg for zip code) (DWP)]]&gt;300,Table1[[#This Row],[CalEnviroScreen Drinking Water Percentile (avg for zip code) (DWP)]]&lt;582),2,(IF(Table1[[#This Row],[CalEnviroScreen Drinking Water Percentile (avg for zip code) (DWP)]]&lt;300,1))))))</f>
        <v>1</v>
      </c>
      <c r="K32">
        <f>IF(Table1[[#This Row],[CA Stream Condition Index]]&lt;0.62,4,IF(AND(Table1[[#This Row],[CA Stream Condition Index]]&gt;0.62,Table1[[#This Row],[CA Stream Condition Index]]&lt;0.79),3,(IF(AND(Table1[[#This Row],[CA Stream Condition Index]]&gt;0.92,Table1[[#This Row],[CA Stream Condition Index]]&lt;0.79),2,(IF(Table1[[#This Row],[CA Stream Condition Index]]&gt;0.92,1))))))</f>
        <v>1</v>
      </c>
      <c r="L32">
        <f>IF(Table1[[#This Row],[Toilet access?]]&gt;45000,4,IF(AND(Table1[[#This Row],[Toilet access?]]&gt;30000,Table1[[#This Row],[Toilet access?]]&lt;45000),3,(IF(AND(Table1[[#This Row],[Toilet access?]]&gt;15000,Table1[[#This Row],[Toilet access?]]&lt;30000),2,(IF(Table1[[#This Row],[Toilet access?]]&lt;15000,1))))))</f>
        <v>1</v>
      </c>
      <c r="M32">
        <f>IF(Table1[[#This Row],[Hot/cold water?]]&gt;45000,4,IF(AND(Table1[[#This Row],[Hot/cold water?]]&gt;30000,Table1[[#This Row],[Hot/cold water?]]&lt;45000),3,(IF(AND(Table1[[#This Row],[Hot/cold water?]]&gt;15000,Table1[[#This Row],[Hot/cold water?]]&lt;30000),2,(IF(Table1[[#This Row],[Hot/cold water?]]&lt;15000,1))))))</f>
        <v>1</v>
      </c>
      <c r="N32">
        <v>3</v>
      </c>
      <c r="O32">
        <v>3</v>
      </c>
      <c r="P32">
        <v>2</v>
      </c>
      <c r="Q32">
        <v>3</v>
      </c>
    </row>
    <row r="33" spans="1:17" x14ac:dyDescent="0.55000000000000004">
      <c r="A33" t="s">
        <v>35</v>
      </c>
      <c r="B33" t="s">
        <v>36</v>
      </c>
      <c r="C33" t="s">
        <v>103</v>
      </c>
      <c r="D33" t="s">
        <v>95</v>
      </c>
      <c r="E33" t="s">
        <v>104</v>
      </c>
      <c r="F33">
        <f>IF(Table1[[#This Row],[Water Quality Impaired (WQI)]]="Yes",4,2)</f>
        <v>2</v>
      </c>
      <c r="G33">
        <f>IF(Table1[[#This Row],[Flood Risk (FR)]]="Yes",4,2)</f>
        <v>2</v>
      </c>
      <c r="H33">
        <f>IF(Table1[[#This Row],[DAC?]]="Yes",4,2)</f>
        <v>2</v>
      </c>
      <c r="I33">
        <f>IF(Table1[[#This Row],[System GPCD (July 2017)]]&gt;112.97,4,IF(AND(Table1[[#This Row],[System GPCD (July 2017)]]&gt;107.84,Table1[[#This Row],[System GPCD (July 2017)]]&lt;112.97),3,(IF(AND(Table1[[#This Row],[System GPCD (July 2017)]]&gt;97.57,Table1[[#This Row],[System GPCD (July 2017)]]&lt;107.84),2,(IF(Table1[[#This Row],[System GPCD (July 2017)]]&lt;97.57,1))))))</f>
        <v>4</v>
      </c>
      <c r="J33" s="42">
        <f>IF(Table1[[#This Row],[CalEnviroScreen Drinking Water Percentile (avg for zip code) (DWP)]]&gt;683,4,IF(AND(Table1[[#This Row],[CalEnviroScreen Drinking Water Percentile (avg for zip code) (DWP)]]&gt;582,Table1[[#This Row],[CalEnviroScreen Drinking Water Percentile (avg for zip code) (DWP)]]&lt;683),3,(IF(AND(Table1[[#This Row],[CalEnviroScreen Drinking Water Percentile (avg for zip code) (DWP)]]&gt;300,Table1[[#This Row],[CalEnviroScreen Drinking Water Percentile (avg for zip code) (DWP)]]&lt;582),2,(IF(Table1[[#This Row],[CalEnviroScreen Drinking Water Percentile (avg for zip code) (DWP)]]&lt;300,1))))))</f>
        <v>1</v>
      </c>
      <c r="K33">
        <f>IF(Table1[[#This Row],[CA Stream Condition Index]]&lt;0.62,4,IF(AND(Table1[[#This Row],[CA Stream Condition Index]]&gt;0.62,Table1[[#This Row],[CA Stream Condition Index]]&lt;0.79),3,(IF(AND(Table1[[#This Row],[CA Stream Condition Index]]&gt;0.92,Table1[[#This Row],[CA Stream Condition Index]]&lt;0.79),2,(IF(Table1[[#This Row],[CA Stream Condition Index]]&gt;0.92,1))))))</f>
        <v>3</v>
      </c>
      <c r="L33">
        <f>IF(Table1[[#This Row],[Toilet access?]]&gt;45000,4,IF(AND(Table1[[#This Row],[Toilet access?]]&gt;30000,Table1[[#This Row],[Toilet access?]]&lt;45000),3,(IF(AND(Table1[[#This Row],[Toilet access?]]&gt;15000,Table1[[#This Row],[Toilet access?]]&lt;30000),2,(IF(Table1[[#This Row],[Toilet access?]]&lt;15000,1))))))</f>
        <v>1</v>
      </c>
      <c r="M33">
        <f>IF(Table1[[#This Row],[Hot/cold water?]]&gt;45000,4,IF(AND(Table1[[#This Row],[Hot/cold water?]]&gt;30000,Table1[[#This Row],[Hot/cold water?]]&lt;45000),3,(IF(AND(Table1[[#This Row],[Hot/cold water?]]&gt;15000,Table1[[#This Row],[Hot/cold water?]]&lt;30000),2,(IF(Table1[[#This Row],[Hot/cold water?]]&lt;15000,1))))))</f>
        <v>1</v>
      </c>
      <c r="N33">
        <v>3</v>
      </c>
      <c r="O33">
        <v>3</v>
      </c>
      <c r="P33">
        <v>2</v>
      </c>
      <c r="Q33">
        <v>3</v>
      </c>
    </row>
    <row r="34" spans="1:17" x14ac:dyDescent="0.55000000000000004">
      <c r="A34" t="s">
        <v>35</v>
      </c>
      <c r="B34" t="s">
        <v>36</v>
      </c>
      <c r="C34" t="s">
        <v>105</v>
      </c>
      <c r="D34" t="s">
        <v>59</v>
      </c>
      <c r="E34" t="s">
        <v>78</v>
      </c>
      <c r="F34">
        <f>IF(Table1[[#This Row],[Water Quality Impaired (WQI)]]="Yes",4,2)</f>
        <v>2</v>
      </c>
      <c r="G34">
        <f>IF(Table1[[#This Row],[Flood Risk (FR)]]="Yes",4,2)</f>
        <v>2</v>
      </c>
      <c r="H34">
        <f>IF(Table1[[#This Row],[DAC?]]="Yes",4,2)</f>
        <v>2</v>
      </c>
      <c r="I34">
        <f>IF(Table1[[#This Row],[System GPCD (July 2017)]]&gt;112.97,4,IF(AND(Table1[[#This Row],[System GPCD (July 2017)]]&gt;107.84,Table1[[#This Row],[System GPCD (July 2017)]]&lt;112.97),3,(IF(AND(Table1[[#This Row],[System GPCD (July 2017)]]&gt;97.57,Table1[[#This Row],[System GPCD (July 2017)]]&lt;107.84),2,(IF(Table1[[#This Row],[System GPCD (July 2017)]]&lt;97.57,1))))))</f>
        <v>1</v>
      </c>
      <c r="J34" s="42">
        <f>IF(Table1[[#This Row],[CalEnviroScreen Drinking Water Percentile (avg for zip code) (DWP)]]&gt;683,4,IF(AND(Table1[[#This Row],[CalEnviroScreen Drinking Water Percentile (avg for zip code) (DWP)]]&gt;582,Table1[[#This Row],[CalEnviroScreen Drinking Water Percentile (avg for zip code) (DWP)]]&lt;683),3,(IF(AND(Table1[[#This Row],[CalEnviroScreen Drinking Water Percentile (avg for zip code) (DWP)]]&gt;300,Table1[[#This Row],[CalEnviroScreen Drinking Water Percentile (avg for zip code) (DWP)]]&lt;582),2,(IF(Table1[[#This Row],[CalEnviroScreen Drinking Water Percentile (avg for zip code) (DWP)]]&lt;300,1))))))</f>
        <v>1</v>
      </c>
      <c r="K34">
        <f>IF(Table1[[#This Row],[CA Stream Condition Index]]&lt;0.62,4,IF(AND(Table1[[#This Row],[CA Stream Condition Index]]&gt;0.62,Table1[[#This Row],[CA Stream Condition Index]]&lt;0.79),3,(IF(AND(Table1[[#This Row],[CA Stream Condition Index]]&gt;0.92,Table1[[#This Row],[CA Stream Condition Index]]&lt;0.79),2,(IF(Table1[[#This Row],[CA Stream Condition Index]]&gt;0.92,1))))))</f>
        <v>3</v>
      </c>
      <c r="L34">
        <f>IF(Table1[[#This Row],[Toilet access?]]&gt;45000,4,IF(AND(Table1[[#This Row],[Toilet access?]]&gt;30000,Table1[[#This Row],[Toilet access?]]&lt;45000),3,(IF(AND(Table1[[#This Row],[Toilet access?]]&gt;15000,Table1[[#This Row],[Toilet access?]]&lt;30000),2,(IF(Table1[[#This Row],[Toilet access?]]&lt;15000,1))))))</f>
        <v>1</v>
      </c>
      <c r="M34">
        <f>IF(Table1[[#This Row],[Hot/cold water?]]&gt;45000,4,IF(AND(Table1[[#This Row],[Hot/cold water?]]&gt;30000,Table1[[#This Row],[Hot/cold water?]]&lt;45000),3,(IF(AND(Table1[[#This Row],[Hot/cold water?]]&gt;15000,Table1[[#This Row],[Hot/cold water?]]&lt;30000),2,(IF(Table1[[#This Row],[Hot/cold water?]]&lt;15000,1))))))</f>
        <v>1</v>
      </c>
      <c r="N34">
        <v>3</v>
      </c>
      <c r="O34">
        <v>3</v>
      </c>
      <c r="P34">
        <v>2</v>
      </c>
      <c r="Q34">
        <v>3</v>
      </c>
    </row>
    <row r="35" spans="1:17" x14ac:dyDescent="0.55000000000000004">
      <c r="A35" t="s">
        <v>35</v>
      </c>
      <c r="B35" t="s">
        <v>106</v>
      </c>
      <c r="C35" t="s">
        <v>107</v>
      </c>
      <c r="D35" t="s">
        <v>41</v>
      </c>
      <c r="E35" t="s">
        <v>55</v>
      </c>
      <c r="F35">
        <f>IF(Table1[[#This Row],[Water Quality Impaired (WQI)]]="Yes",4,2)</f>
        <v>4</v>
      </c>
      <c r="G35">
        <f>IF(Table1[[#This Row],[Flood Risk (FR)]]="Yes",4,2)</f>
        <v>2</v>
      </c>
      <c r="H35">
        <f>IF(Table1[[#This Row],[DAC?]]="Yes",4,2)</f>
        <v>2</v>
      </c>
      <c r="I35">
        <f>IF(Table1[[#This Row],[System GPCD (July 2017)]]&gt;112.97,4,IF(AND(Table1[[#This Row],[System GPCD (July 2017)]]&gt;107.84,Table1[[#This Row],[System GPCD (July 2017)]]&lt;112.97),3,(IF(AND(Table1[[#This Row],[System GPCD (July 2017)]]&gt;97.57,Table1[[#This Row],[System GPCD (July 2017)]]&lt;107.84),2,(IF(Table1[[#This Row],[System GPCD (July 2017)]]&lt;97.57,1))))))</f>
        <v>1</v>
      </c>
      <c r="J35" s="42">
        <f>IF(Table1[[#This Row],[CalEnviroScreen Drinking Water Percentile (avg for zip code) (DWP)]]&gt;683,4,IF(AND(Table1[[#This Row],[CalEnviroScreen Drinking Water Percentile (avg for zip code) (DWP)]]&gt;582,Table1[[#This Row],[CalEnviroScreen Drinking Water Percentile (avg for zip code) (DWP)]]&lt;683),3,(IF(AND(Table1[[#This Row],[CalEnviroScreen Drinking Water Percentile (avg for zip code) (DWP)]]&gt;300,Table1[[#This Row],[CalEnviroScreen Drinking Water Percentile (avg for zip code) (DWP)]]&lt;582),2,(IF(Table1[[#This Row],[CalEnviroScreen Drinking Water Percentile (avg for zip code) (DWP)]]&lt;300,1))))))</f>
        <v>1</v>
      </c>
      <c r="K35">
        <f>IF(Table1[[#This Row],[CA Stream Condition Index]]&lt;0.62,4,IF(AND(Table1[[#This Row],[CA Stream Condition Index]]&gt;0.62,Table1[[#This Row],[CA Stream Condition Index]]&lt;0.79),3,(IF(AND(Table1[[#This Row],[CA Stream Condition Index]]&gt;0.92,Table1[[#This Row],[CA Stream Condition Index]]&lt;0.79),2,(IF(Table1[[#This Row],[CA Stream Condition Index]]&gt;0.92,1))))))</f>
        <v>1</v>
      </c>
      <c r="L35">
        <f>IF(Table1[[#This Row],[Toilet access?]]&gt;45000,4,IF(AND(Table1[[#This Row],[Toilet access?]]&gt;30000,Table1[[#This Row],[Toilet access?]]&lt;45000),3,(IF(AND(Table1[[#This Row],[Toilet access?]]&gt;15000,Table1[[#This Row],[Toilet access?]]&lt;30000),2,(IF(Table1[[#This Row],[Toilet access?]]&lt;15000,1))))))</f>
        <v>1</v>
      </c>
      <c r="M35">
        <f>IF(Table1[[#This Row],[Hot/cold water?]]&gt;45000,4,IF(AND(Table1[[#This Row],[Hot/cold water?]]&gt;30000,Table1[[#This Row],[Hot/cold water?]]&lt;45000),3,(IF(AND(Table1[[#This Row],[Hot/cold water?]]&gt;15000,Table1[[#This Row],[Hot/cold water?]]&lt;30000),2,(IF(Table1[[#This Row],[Hot/cold water?]]&lt;15000,1))))))</f>
        <v>1</v>
      </c>
      <c r="N35">
        <v>3</v>
      </c>
      <c r="O35">
        <v>3</v>
      </c>
      <c r="P35">
        <v>2</v>
      </c>
      <c r="Q35">
        <v>3</v>
      </c>
    </row>
    <row r="39" spans="1:17" x14ac:dyDescent="0.55000000000000004">
      <c r="E39" s="41"/>
    </row>
  </sheetData>
  <pageMargins left="0.7" right="0.7" top="0.75" bottom="0.75" header="0.3" footer="0.3"/>
  <pageSetup orientation="portrait"/>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37"/>
  <sheetViews>
    <sheetView workbookViewId="0">
      <selection activeCell="W4" sqref="A1:W4"/>
    </sheetView>
  </sheetViews>
  <sheetFormatPr defaultColWidth="8.83984375" defaultRowHeight="14.4" x14ac:dyDescent="0.55000000000000004"/>
  <cols>
    <col min="2" max="2" width="21.83984375" customWidth="1"/>
    <col min="3" max="3" width="15" customWidth="1"/>
    <col min="4" max="4" width="18.15625" customWidth="1"/>
    <col min="5" max="5" width="20.41796875" style="1" customWidth="1"/>
    <col min="6" max="6" width="14.26171875" customWidth="1"/>
    <col min="7" max="7" width="13.26171875" customWidth="1"/>
    <col min="8" max="8" width="11.41796875" customWidth="1"/>
    <col min="9" max="9" width="15.41796875" customWidth="1"/>
    <col min="10" max="11" width="11.68359375" customWidth="1"/>
    <col min="12" max="12" width="20.41796875" customWidth="1"/>
    <col min="13" max="17" width="14.83984375" customWidth="1"/>
    <col min="18" max="18" width="15.83984375" customWidth="1"/>
    <col min="19" max="19" width="12" customWidth="1"/>
    <col min="20" max="20" width="12.41796875" customWidth="1"/>
    <col min="21" max="21" width="11" customWidth="1"/>
    <col min="22" max="23" width="12.41796875" customWidth="1"/>
  </cols>
  <sheetData>
    <row r="1" spans="1:23" x14ac:dyDescent="0.55000000000000004">
      <c r="A1" t="s">
        <v>198</v>
      </c>
      <c r="F1" s="87" t="s">
        <v>128</v>
      </c>
      <c r="G1" s="55" t="s">
        <v>129</v>
      </c>
      <c r="H1" s="67" t="s">
        <v>130</v>
      </c>
      <c r="I1" s="156" t="s">
        <v>131</v>
      </c>
      <c r="J1" s="67" t="s">
        <v>130</v>
      </c>
      <c r="K1" s="157" t="s">
        <v>132</v>
      </c>
      <c r="L1" s="67" t="s">
        <v>130</v>
      </c>
      <c r="M1" s="67" t="s">
        <v>130</v>
      </c>
      <c r="N1" s="156" t="s">
        <v>131</v>
      </c>
      <c r="O1" s="55" t="s">
        <v>129</v>
      </c>
      <c r="P1" s="158" t="s">
        <v>209</v>
      </c>
      <c r="Q1" s="112" t="s">
        <v>209</v>
      </c>
      <c r="R1" s="163" t="s">
        <v>202</v>
      </c>
      <c r="S1" s="164"/>
      <c r="T1" s="164"/>
      <c r="U1" s="164"/>
      <c r="V1" s="164"/>
      <c r="W1" s="165"/>
    </row>
    <row r="2" spans="1:23" x14ac:dyDescent="0.55000000000000004">
      <c r="E2" s="1" t="s">
        <v>199</v>
      </c>
      <c r="F2" s="91">
        <f>'Rank methods'!L4</f>
        <v>1</v>
      </c>
      <c r="G2" s="66">
        <f>'Rank methods'!L7</f>
        <v>0.5</v>
      </c>
      <c r="H2" s="74">
        <f>'Rank methods'!L6</f>
        <v>0.25</v>
      </c>
      <c r="I2" s="105">
        <f>'Rank methods'!L3</f>
        <v>0.5</v>
      </c>
      <c r="J2" s="74">
        <f>'Rank methods'!L6</f>
        <v>0.25</v>
      </c>
      <c r="K2" s="86">
        <f>'Rank methods'!L5</f>
        <v>1</v>
      </c>
      <c r="L2" s="74">
        <f>'Rank methods'!L6</f>
        <v>0.25</v>
      </c>
      <c r="M2" s="74">
        <f>'Rank methods'!L6</f>
        <v>0.25</v>
      </c>
      <c r="N2" s="105">
        <f>'Rank methods'!L3</f>
        <v>0.5</v>
      </c>
      <c r="O2" s="66">
        <f>'Rank methods'!L7</f>
        <v>0.5</v>
      </c>
      <c r="P2" s="109">
        <f>'Rank methods'!L8</f>
        <v>0.5</v>
      </c>
      <c r="Q2" s="109">
        <f>'Rank methods'!L8</f>
        <v>0.5</v>
      </c>
      <c r="R2" s="166"/>
      <c r="S2" s="167"/>
      <c r="T2" s="167"/>
      <c r="U2" s="167"/>
      <c r="V2" s="167"/>
      <c r="W2" s="168"/>
    </row>
    <row r="3" spans="1:23" ht="28.8" x14ac:dyDescent="0.55000000000000004">
      <c r="A3" s="3" t="s">
        <v>0</v>
      </c>
      <c r="B3" s="3" t="s">
        <v>1</v>
      </c>
      <c r="C3" s="3" t="s">
        <v>2</v>
      </c>
      <c r="D3" s="3" t="s">
        <v>3</v>
      </c>
      <c r="E3" s="4" t="s">
        <v>4</v>
      </c>
      <c r="F3" s="48" t="s">
        <v>190</v>
      </c>
      <c r="G3" s="49" t="s">
        <v>191</v>
      </c>
      <c r="H3" s="50" t="s">
        <v>192</v>
      </c>
      <c r="I3" s="51" t="s">
        <v>193</v>
      </c>
      <c r="J3" s="50" t="s">
        <v>194</v>
      </c>
      <c r="K3" s="52" t="s">
        <v>195</v>
      </c>
      <c r="L3" s="50" t="s">
        <v>196</v>
      </c>
      <c r="M3" s="50" t="s">
        <v>197</v>
      </c>
      <c r="N3" s="51" t="s">
        <v>230</v>
      </c>
      <c r="O3" s="49" t="s">
        <v>231</v>
      </c>
      <c r="P3" s="53" t="s">
        <v>232</v>
      </c>
      <c r="Q3" s="53" t="s">
        <v>233</v>
      </c>
      <c r="R3" s="150" t="s">
        <v>131</v>
      </c>
      <c r="S3" s="151" t="s">
        <v>128</v>
      </c>
      <c r="T3" s="152" t="s">
        <v>132</v>
      </c>
      <c r="U3" s="153" t="s">
        <v>130</v>
      </c>
      <c r="V3" s="154" t="s">
        <v>129</v>
      </c>
      <c r="W3" s="155" t="s">
        <v>209</v>
      </c>
    </row>
    <row r="4" spans="1:23" x14ac:dyDescent="0.55000000000000004">
      <c r="A4" t="s">
        <v>24</v>
      </c>
      <c r="B4" t="s">
        <v>25</v>
      </c>
      <c r="C4" t="s">
        <v>26</v>
      </c>
      <c r="D4" t="s">
        <v>27</v>
      </c>
      <c r="E4" s="1" t="s">
        <v>28</v>
      </c>
      <c r="F4">
        <f>'1.Ranking'!F2*$F$2</f>
        <v>2</v>
      </c>
      <c r="G4">
        <f>'1.Ranking'!G2*$G$2</f>
        <v>2</v>
      </c>
      <c r="H4">
        <f>'1.Ranking'!H2*$H$2</f>
        <v>0.5</v>
      </c>
      <c r="I4">
        <f>'1.Ranking'!I2*$I$2</f>
        <v>2</v>
      </c>
      <c r="J4">
        <f>'1.Ranking'!J2*$J$2</f>
        <v>0.25</v>
      </c>
      <c r="K4">
        <f>'1.Ranking'!K2*$K$2</f>
        <v>3</v>
      </c>
      <c r="L4">
        <f>'1.Ranking'!L2*$L$2</f>
        <v>0.25</v>
      </c>
      <c r="M4">
        <f>'1.Ranking'!M2*$M$2</f>
        <v>0.25</v>
      </c>
      <c r="N4">
        <f>'1.Ranking'!N2*$N$2</f>
        <v>1.5</v>
      </c>
      <c r="O4">
        <f>'1.Ranking'!O2*$O$2</f>
        <v>1.5</v>
      </c>
      <c r="P4">
        <f>'1.Ranking'!P2*$P$2</f>
        <v>1</v>
      </c>
      <c r="Q4">
        <f>'1.Ranking'!Q2*$Q$2</f>
        <v>1.5</v>
      </c>
      <c r="R4">
        <f>SUM(I4,N4)</f>
        <v>3.5</v>
      </c>
      <c r="S4">
        <f>F4</f>
        <v>2</v>
      </c>
      <c r="T4">
        <f>K4</f>
        <v>3</v>
      </c>
      <c r="U4">
        <f>SUM(L4,M4,H4,J4)</f>
        <v>1.25</v>
      </c>
      <c r="V4">
        <f>SUM(G4,O4)</f>
        <v>3.5</v>
      </c>
      <c r="W4">
        <f>SUM(P4,Q4)</f>
        <v>2.5</v>
      </c>
    </row>
    <row r="5" spans="1:23" x14ac:dyDescent="0.55000000000000004">
      <c r="A5" t="s">
        <v>32</v>
      </c>
      <c r="B5" t="s">
        <v>33</v>
      </c>
      <c r="C5" t="s">
        <v>34</v>
      </c>
      <c r="D5" t="s">
        <v>27</v>
      </c>
      <c r="E5" s="1" t="s">
        <v>28</v>
      </c>
      <c r="F5">
        <f>'1.Ranking'!F3*$F$2</f>
        <v>2</v>
      </c>
      <c r="G5">
        <f>'1.Ranking'!G3*$G$2</f>
        <v>2</v>
      </c>
      <c r="H5">
        <f>'1.Ranking'!H3*$H$2</f>
        <v>0.5</v>
      </c>
      <c r="I5">
        <f>'1.Ranking'!I3*$I$2</f>
        <v>2</v>
      </c>
      <c r="J5">
        <f>'1.Ranking'!J3*$J$2</f>
        <v>0.25</v>
      </c>
      <c r="K5">
        <f>'1.Ranking'!K3*$K$2</f>
        <v>3</v>
      </c>
      <c r="L5">
        <f>'1.Ranking'!L3*$L$2</f>
        <v>0.25</v>
      </c>
      <c r="M5">
        <f>'1.Ranking'!M3*$M$2</f>
        <v>0.25</v>
      </c>
      <c r="N5">
        <f>'1.Ranking'!N3*$N$2</f>
        <v>1.5</v>
      </c>
      <c r="O5">
        <f>'1.Ranking'!O3*$O$2</f>
        <v>1.5</v>
      </c>
      <c r="P5">
        <f>'1.Ranking'!P3*$P$2</f>
        <v>1</v>
      </c>
      <c r="Q5">
        <f>'1.Ranking'!Q3*$Q$2</f>
        <v>1.5</v>
      </c>
      <c r="R5">
        <f t="shared" ref="R5:R37" si="0">SUM(I5,N5)</f>
        <v>3.5</v>
      </c>
      <c r="S5">
        <f t="shared" ref="S5:S37" si="1">F5</f>
        <v>2</v>
      </c>
      <c r="T5">
        <f t="shared" ref="T5:T37" si="2">K5</f>
        <v>3</v>
      </c>
      <c r="U5">
        <f t="shared" ref="U5:U37" si="3">SUM(L5,M5,H5,J5)</f>
        <v>1.25</v>
      </c>
      <c r="V5">
        <f t="shared" ref="V5:V37" si="4">SUM(G5,O5)</f>
        <v>3.5</v>
      </c>
      <c r="W5">
        <f t="shared" ref="W5:W37" si="5">SUM(P5,Q5)</f>
        <v>2.5</v>
      </c>
    </row>
    <row r="6" spans="1:23" x14ac:dyDescent="0.55000000000000004">
      <c r="A6" t="s">
        <v>35</v>
      </c>
      <c r="B6" t="s">
        <v>36</v>
      </c>
      <c r="C6" t="s">
        <v>37</v>
      </c>
      <c r="D6" t="s">
        <v>27</v>
      </c>
      <c r="E6" s="1" t="s">
        <v>38</v>
      </c>
      <c r="F6">
        <f>'1.Ranking'!F4*$F$2</f>
        <v>4</v>
      </c>
      <c r="G6">
        <f>'1.Ranking'!G4*$G$2</f>
        <v>2</v>
      </c>
      <c r="H6">
        <f>'1.Ranking'!H4*$H$2</f>
        <v>0.5</v>
      </c>
      <c r="I6">
        <f>'1.Ranking'!I4*$I$2</f>
        <v>2</v>
      </c>
      <c r="J6">
        <f>'1.Ranking'!J4*$J$2</f>
        <v>0.25</v>
      </c>
      <c r="K6">
        <f>'1.Ranking'!K4*$K$2</f>
        <v>3</v>
      </c>
      <c r="L6">
        <f>'1.Ranking'!L4*$L$2</f>
        <v>0.25</v>
      </c>
      <c r="M6">
        <f>'1.Ranking'!M4*$M$2</f>
        <v>0.25</v>
      </c>
      <c r="N6">
        <f>'1.Ranking'!N4*$N$2</f>
        <v>1.5</v>
      </c>
      <c r="O6">
        <f>'1.Ranking'!O4*$O$2</f>
        <v>1.5</v>
      </c>
      <c r="P6">
        <f>'1.Ranking'!P4*$P$2</f>
        <v>1</v>
      </c>
      <c r="Q6">
        <f>'1.Ranking'!Q4*$Q$2</f>
        <v>1.5</v>
      </c>
      <c r="R6">
        <f t="shared" si="0"/>
        <v>3.5</v>
      </c>
      <c r="S6">
        <f t="shared" si="1"/>
        <v>4</v>
      </c>
      <c r="T6">
        <f t="shared" si="2"/>
        <v>3</v>
      </c>
      <c r="U6">
        <f t="shared" si="3"/>
        <v>1.25</v>
      </c>
      <c r="V6">
        <f t="shared" si="4"/>
        <v>3.5</v>
      </c>
      <c r="W6">
        <f t="shared" si="5"/>
        <v>2.5</v>
      </c>
    </row>
    <row r="7" spans="1:23" x14ac:dyDescent="0.55000000000000004">
      <c r="A7" t="s">
        <v>32</v>
      </c>
      <c r="B7" t="s">
        <v>33</v>
      </c>
      <c r="C7" t="s">
        <v>40</v>
      </c>
      <c r="D7" t="s">
        <v>41</v>
      </c>
      <c r="E7" s="1" t="s">
        <v>42</v>
      </c>
      <c r="F7">
        <f>'1.Ranking'!F5*$F$2</f>
        <v>4</v>
      </c>
      <c r="G7">
        <f>'1.Ranking'!G5*$G$2</f>
        <v>1</v>
      </c>
      <c r="H7">
        <f>'1.Ranking'!H5*$H$2</f>
        <v>1</v>
      </c>
      <c r="I7">
        <f>'1.Ranking'!I5*$I$2</f>
        <v>2</v>
      </c>
      <c r="J7">
        <f>'1.Ranking'!J5*$J$2</f>
        <v>0.25</v>
      </c>
      <c r="K7">
        <f>'1.Ranking'!K5*$K$2</f>
        <v>1</v>
      </c>
      <c r="L7">
        <f>'1.Ranking'!L5*$L$2</f>
        <v>0.25</v>
      </c>
      <c r="M7">
        <f>'1.Ranking'!M5*$M$2</f>
        <v>0.25</v>
      </c>
      <c r="N7">
        <f>'1.Ranking'!N5*$N$2</f>
        <v>1.5</v>
      </c>
      <c r="O7">
        <f>'1.Ranking'!O5*$O$2</f>
        <v>1.5</v>
      </c>
      <c r="P7">
        <f>'1.Ranking'!P5*$P$2</f>
        <v>1</v>
      </c>
      <c r="Q7">
        <f>'1.Ranking'!Q5*$Q$2</f>
        <v>1.5</v>
      </c>
      <c r="R7">
        <f t="shared" si="0"/>
        <v>3.5</v>
      </c>
      <c r="S7">
        <f t="shared" si="1"/>
        <v>4</v>
      </c>
      <c r="T7">
        <f t="shared" si="2"/>
        <v>1</v>
      </c>
      <c r="U7">
        <f t="shared" si="3"/>
        <v>1.75</v>
      </c>
      <c r="V7">
        <f t="shared" si="4"/>
        <v>2.5</v>
      </c>
      <c r="W7">
        <f t="shared" si="5"/>
        <v>2.5</v>
      </c>
    </row>
    <row r="8" spans="1:23" x14ac:dyDescent="0.55000000000000004">
      <c r="A8" t="s">
        <v>32</v>
      </c>
      <c r="B8" t="s">
        <v>33</v>
      </c>
      <c r="C8" t="s">
        <v>43</v>
      </c>
      <c r="D8" t="s">
        <v>27</v>
      </c>
      <c r="E8" s="1" t="s">
        <v>44</v>
      </c>
      <c r="F8">
        <f>'1.Ranking'!F6*$F$2</f>
        <v>4</v>
      </c>
      <c r="G8">
        <f>'1.Ranking'!G6*$G$2</f>
        <v>2</v>
      </c>
      <c r="H8">
        <f>'1.Ranking'!H6*$H$2</f>
        <v>0.5</v>
      </c>
      <c r="I8">
        <f>'1.Ranking'!I6*$I$2</f>
        <v>2</v>
      </c>
      <c r="J8">
        <f>'1.Ranking'!J6*$J$2</f>
        <v>0.25</v>
      </c>
      <c r="K8">
        <f>'1.Ranking'!K6*$K$2</f>
        <v>3</v>
      </c>
      <c r="L8">
        <f>'1.Ranking'!L6*$L$2</f>
        <v>0.25</v>
      </c>
      <c r="M8">
        <f>'1.Ranking'!M6*$M$2</f>
        <v>0.25</v>
      </c>
      <c r="N8">
        <f>'1.Ranking'!N6*$N$2</f>
        <v>1.5</v>
      </c>
      <c r="O8">
        <f>'1.Ranking'!O6*$O$2</f>
        <v>1.5</v>
      </c>
      <c r="P8">
        <f>'1.Ranking'!P6*$P$2</f>
        <v>1</v>
      </c>
      <c r="Q8">
        <f>'1.Ranking'!Q6*$Q$2</f>
        <v>1.5</v>
      </c>
      <c r="R8">
        <f t="shared" si="0"/>
        <v>3.5</v>
      </c>
      <c r="S8">
        <f t="shared" si="1"/>
        <v>4</v>
      </c>
      <c r="T8">
        <f t="shared" si="2"/>
        <v>3</v>
      </c>
      <c r="U8">
        <f t="shared" si="3"/>
        <v>1.25</v>
      </c>
      <c r="V8">
        <f t="shared" si="4"/>
        <v>3.5</v>
      </c>
      <c r="W8">
        <f t="shared" si="5"/>
        <v>2.5</v>
      </c>
    </row>
    <row r="9" spans="1:23" ht="28.8" x14ac:dyDescent="0.55000000000000004">
      <c r="A9" t="s">
        <v>32</v>
      </c>
      <c r="B9" t="s">
        <v>33</v>
      </c>
      <c r="C9" t="s">
        <v>45</v>
      </c>
      <c r="D9" t="s">
        <v>27</v>
      </c>
      <c r="E9" s="1" t="s">
        <v>46</v>
      </c>
      <c r="F9">
        <f>'1.Ranking'!F7*$F$2</f>
        <v>4</v>
      </c>
      <c r="G9">
        <f>'1.Ranking'!G7*$G$2</f>
        <v>1</v>
      </c>
      <c r="H9">
        <f>'1.Ranking'!H7*$H$2</f>
        <v>0.5</v>
      </c>
      <c r="I9">
        <f>'1.Ranking'!I7*$I$2</f>
        <v>2</v>
      </c>
      <c r="J9">
        <f>'1.Ranking'!J7*$J$2</f>
        <v>0.25</v>
      </c>
      <c r="K9">
        <f>'1.Ranking'!K7*$K$2</f>
        <v>3</v>
      </c>
      <c r="L9">
        <f>'1.Ranking'!L7*$L$2</f>
        <v>0.25</v>
      </c>
      <c r="M9">
        <f>'1.Ranking'!M7*$M$2</f>
        <v>0.25</v>
      </c>
      <c r="N9">
        <f>'1.Ranking'!N7*$N$2</f>
        <v>1.5</v>
      </c>
      <c r="O9">
        <f>'1.Ranking'!O7*$O$2</f>
        <v>1.5</v>
      </c>
      <c r="P9">
        <f>'1.Ranking'!P7*$P$2</f>
        <v>1</v>
      </c>
      <c r="Q9">
        <f>'1.Ranking'!Q7*$Q$2</f>
        <v>1.5</v>
      </c>
      <c r="R9">
        <f t="shared" si="0"/>
        <v>3.5</v>
      </c>
      <c r="S9">
        <f t="shared" si="1"/>
        <v>4</v>
      </c>
      <c r="T9">
        <f t="shared" si="2"/>
        <v>3</v>
      </c>
      <c r="U9">
        <f t="shared" si="3"/>
        <v>1.25</v>
      </c>
      <c r="V9">
        <f t="shared" si="4"/>
        <v>2.5</v>
      </c>
      <c r="W9">
        <f t="shared" si="5"/>
        <v>2.5</v>
      </c>
    </row>
    <row r="10" spans="1:23" ht="28.8" x14ac:dyDescent="0.55000000000000004">
      <c r="A10" t="s">
        <v>32</v>
      </c>
      <c r="B10" t="s">
        <v>33</v>
      </c>
      <c r="C10" t="s">
        <v>47</v>
      </c>
      <c r="D10" t="s">
        <v>41</v>
      </c>
      <c r="E10" s="1" t="s">
        <v>48</v>
      </c>
      <c r="F10">
        <f>'1.Ranking'!F8*$F$2</f>
        <v>4</v>
      </c>
      <c r="G10">
        <f>'1.Ranking'!G8*$G$2</f>
        <v>2</v>
      </c>
      <c r="H10">
        <f>'1.Ranking'!H8*$H$2</f>
        <v>1</v>
      </c>
      <c r="I10">
        <f>'1.Ranking'!I8*$I$2</f>
        <v>2</v>
      </c>
      <c r="J10">
        <f>'1.Ranking'!J8*$J$2</f>
        <v>0.25</v>
      </c>
      <c r="K10">
        <f>'1.Ranking'!K8*$K$2</f>
        <v>1</v>
      </c>
      <c r="L10">
        <f>'1.Ranking'!L8*$L$2</f>
        <v>0.25</v>
      </c>
      <c r="M10">
        <f>'1.Ranking'!M8*$M$2</f>
        <v>0.25</v>
      </c>
      <c r="N10">
        <f>'1.Ranking'!N8*$N$2</f>
        <v>1.5</v>
      </c>
      <c r="O10">
        <f>'1.Ranking'!O8*$O$2</f>
        <v>1.5</v>
      </c>
      <c r="P10">
        <f>'1.Ranking'!P8*$P$2</f>
        <v>1</v>
      </c>
      <c r="Q10">
        <f>'1.Ranking'!Q8*$Q$2</f>
        <v>1.5</v>
      </c>
      <c r="R10">
        <f t="shared" si="0"/>
        <v>3.5</v>
      </c>
      <c r="S10">
        <f t="shared" si="1"/>
        <v>4</v>
      </c>
      <c r="T10">
        <f t="shared" si="2"/>
        <v>1</v>
      </c>
      <c r="U10">
        <f t="shared" si="3"/>
        <v>1.75</v>
      </c>
      <c r="V10">
        <f t="shared" si="4"/>
        <v>3.5</v>
      </c>
      <c r="W10">
        <f t="shared" si="5"/>
        <v>2.5</v>
      </c>
    </row>
    <row r="11" spans="1:23" x14ac:dyDescent="0.55000000000000004">
      <c r="A11" t="s">
        <v>32</v>
      </c>
      <c r="B11" t="s">
        <v>33</v>
      </c>
      <c r="C11" t="s">
        <v>49</v>
      </c>
      <c r="D11" t="s">
        <v>27</v>
      </c>
      <c r="E11" s="1" t="s">
        <v>50</v>
      </c>
      <c r="F11">
        <f>'1.Ranking'!F9*$F$2</f>
        <v>4</v>
      </c>
      <c r="G11">
        <f>'1.Ranking'!G9*$G$2</f>
        <v>1</v>
      </c>
      <c r="H11">
        <f>'1.Ranking'!H9*$H$2</f>
        <v>0.5</v>
      </c>
      <c r="I11">
        <f>'1.Ranking'!I9*$I$2</f>
        <v>1</v>
      </c>
      <c r="J11">
        <f>'1.Ranking'!J9*$J$2</f>
        <v>0.25</v>
      </c>
      <c r="K11">
        <f>'1.Ranking'!K9*$K$2</f>
        <v>3</v>
      </c>
      <c r="L11">
        <f>'1.Ranking'!L9*$L$2</f>
        <v>0.25</v>
      </c>
      <c r="M11">
        <f>'1.Ranking'!M9*$M$2</f>
        <v>0.25</v>
      </c>
      <c r="N11">
        <f>'1.Ranking'!N9*$N$2</f>
        <v>1.5</v>
      </c>
      <c r="O11">
        <f>'1.Ranking'!O9*$O$2</f>
        <v>1.5</v>
      </c>
      <c r="P11">
        <f>'1.Ranking'!P9*$P$2</f>
        <v>1</v>
      </c>
      <c r="Q11">
        <f>'1.Ranking'!Q9*$Q$2</f>
        <v>1.5</v>
      </c>
      <c r="R11">
        <f t="shared" si="0"/>
        <v>2.5</v>
      </c>
      <c r="S11">
        <f t="shared" si="1"/>
        <v>4</v>
      </c>
      <c r="T11">
        <f t="shared" si="2"/>
        <v>3</v>
      </c>
      <c r="U11">
        <f t="shared" si="3"/>
        <v>1.25</v>
      </c>
      <c r="V11">
        <f t="shared" si="4"/>
        <v>2.5</v>
      </c>
      <c r="W11">
        <f t="shared" si="5"/>
        <v>2.5</v>
      </c>
    </row>
    <row r="12" spans="1:23" x14ac:dyDescent="0.55000000000000004">
      <c r="A12" t="s">
        <v>32</v>
      </c>
      <c r="B12" t="s">
        <v>33</v>
      </c>
      <c r="C12" t="s">
        <v>51</v>
      </c>
      <c r="D12" t="s">
        <v>27</v>
      </c>
      <c r="E12" s="1" t="s">
        <v>52</v>
      </c>
      <c r="F12">
        <f>'1.Ranking'!F10*$F$2</f>
        <v>4</v>
      </c>
      <c r="G12">
        <f>'1.Ranking'!G10*$G$2</f>
        <v>2</v>
      </c>
      <c r="H12">
        <f>'1.Ranking'!H10*$H$2</f>
        <v>0.5</v>
      </c>
      <c r="I12">
        <f>'1.Ranking'!I10*$I$2</f>
        <v>2</v>
      </c>
      <c r="J12">
        <f>'1.Ranking'!J10*$J$2</f>
        <v>0.25</v>
      </c>
      <c r="K12">
        <f>'1.Ranking'!K10*$K$2</f>
        <v>3</v>
      </c>
      <c r="L12">
        <f>'1.Ranking'!L10*$L$2</f>
        <v>0.25</v>
      </c>
      <c r="M12">
        <f>'1.Ranking'!M10*$M$2</f>
        <v>0.25</v>
      </c>
      <c r="N12">
        <f>'1.Ranking'!N10*$N$2</f>
        <v>1.5</v>
      </c>
      <c r="O12">
        <f>'1.Ranking'!O10*$O$2</f>
        <v>1.5</v>
      </c>
      <c r="P12">
        <f>'1.Ranking'!P10*$P$2</f>
        <v>1</v>
      </c>
      <c r="Q12">
        <f>'1.Ranking'!Q10*$Q$2</f>
        <v>1.5</v>
      </c>
      <c r="R12">
        <f t="shared" si="0"/>
        <v>3.5</v>
      </c>
      <c r="S12">
        <f t="shared" si="1"/>
        <v>4</v>
      </c>
      <c r="T12">
        <f t="shared" si="2"/>
        <v>3</v>
      </c>
      <c r="U12">
        <f t="shared" si="3"/>
        <v>1.25</v>
      </c>
      <c r="V12">
        <f t="shared" si="4"/>
        <v>3.5</v>
      </c>
      <c r="W12">
        <f t="shared" si="5"/>
        <v>2.5</v>
      </c>
    </row>
    <row r="13" spans="1:23" x14ac:dyDescent="0.55000000000000004">
      <c r="A13" t="s">
        <v>32</v>
      </c>
      <c r="B13" t="s">
        <v>33</v>
      </c>
      <c r="C13" t="s">
        <v>53</v>
      </c>
      <c r="D13" t="s">
        <v>27</v>
      </c>
      <c r="E13" s="1" t="s">
        <v>52</v>
      </c>
      <c r="F13">
        <f>'1.Ranking'!F11*$F$2</f>
        <v>4</v>
      </c>
      <c r="G13">
        <f>'1.Ranking'!G11*$G$2</f>
        <v>2</v>
      </c>
      <c r="H13">
        <f>'1.Ranking'!H11*$H$2</f>
        <v>1</v>
      </c>
      <c r="I13">
        <f>'1.Ranking'!I11*$I$2</f>
        <v>2</v>
      </c>
      <c r="J13">
        <f>'1.Ranking'!J11*$J$2</f>
        <v>0.25</v>
      </c>
      <c r="K13">
        <f>'1.Ranking'!K11*$K$2</f>
        <v>3</v>
      </c>
      <c r="L13">
        <f>'1.Ranking'!L11*$L$2</f>
        <v>0.25</v>
      </c>
      <c r="M13">
        <f>'1.Ranking'!M11*$M$2</f>
        <v>0.25</v>
      </c>
      <c r="N13">
        <f>'1.Ranking'!N11*$N$2</f>
        <v>1.5</v>
      </c>
      <c r="O13">
        <f>'1.Ranking'!O11*$O$2</f>
        <v>1.5</v>
      </c>
      <c r="P13">
        <f>'1.Ranking'!P11*$P$2</f>
        <v>1</v>
      </c>
      <c r="Q13">
        <f>'1.Ranking'!Q11*$Q$2</f>
        <v>1.5</v>
      </c>
      <c r="R13">
        <f t="shared" si="0"/>
        <v>3.5</v>
      </c>
      <c r="S13">
        <f t="shared" si="1"/>
        <v>4</v>
      </c>
      <c r="T13">
        <f t="shared" si="2"/>
        <v>3</v>
      </c>
      <c r="U13">
        <f t="shared" si="3"/>
        <v>1.75</v>
      </c>
      <c r="V13">
        <f t="shared" si="4"/>
        <v>3.5</v>
      </c>
      <c r="W13">
        <f t="shared" si="5"/>
        <v>2.5</v>
      </c>
    </row>
    <row r="14" spans="1:23" ht="28.8" x14ac:dyDescent="0.55000000000000004">
      <c r="A14" t="s">
        <v>32</v>
      </c>
      <c r="B14" t="s">
        <v>33</v>
      </c>
      <c r="C14" t="s">
        <v>54</v>
      </c>
      <c r="D14" t="s">
        <v>41</v>
      </c>
      <c r="E14" s="1" t="s">
        <v>55</v>
      </c>
      <c r="F14">
        <f>'1.Ranking'!F12*$F$2</f>
        <v>4</v>
      </c>
      <c r="G14">
        <f>'1.Ranking'!G12*$G$2</f>
        <v>1</v>
      </c>
      <c r="H14">
        <f>'1.Ranking'!H12*$H$2</f>
        <v>1</v>
      </c>
      <c r="I14">
        <f>'1.Ranking'!I12*$I$2</f>
        <v>2</v>
      </c>
      <c r="J14">
        <f>'1.Ranking'!J12*$J$2</f>
        <v>0.25</v>
      </c>
      <c r="K14">
        <f>'1.Ranking'!K12*$K$2</f>
        <v>1</v>
      </c>
      <c r="L14">
        <f>'1.Ranking'!L12*$L$2</f>
        <v>0.25</v>
      </c>
      <c r="M14">
        <f>'1.Ranking'!M12*$M$2</f>
        <v>0.25</v>
      </c>
      <c r="N14">
        <f>'1.Ranking'!N12*$N$2</f>
        <v>1.5</v>
      </c>
      <c r="O14">
        <f>'1.Ranking'!O12*$O$2</f>
        <v>1.5</v>
      </c>
      <c r="P14">
        <f>'1.Ranking'!P12*$P$2</f>
        <v>1</v>
      </c>
      <c r="Q14">
        <f>'1.Ranking'!Q12*$Q$2</f>
        <v>1.5</v>
      </c>
      <c r="R14">
        <f t="shared" si="0"/>
        <v>3.5</v>
      </c>
      <c r="S14">
        <f t="shared" si="1"/>
        <v>4</v>
      </c>
      <c r="T14">
        <f t="shared" si="2"/>
        <v>1</v>
      </c>
      <c r="U14">
        <f t="shared" si="3"/>
        <v>1.75</v>
      </c>
      <c r="V14">
        <f t="shared" si="4"/>
        <v>2.5</v>
      </c>
      <c r="W14">
        <f t="shared" si="5"/>
        <v>2.5</v>
      </c>
    </row>
    <row r="15" spans="1:23" ht="28.8" x14ac:dyDescent="0.55000000000000004">
      <c r="A15" t="s">
        <v>32</v>
      </c>
      <c r="B15" t="s">
        <v>33</v>
      </c>
      <c r="C15" t="s">
        <v>56</v>
      </c>
      <c r="D15" t="s">
        <v>41</v>
      </c>
      <c r="E15" s="1" t="s">
        <v>57</v>
      </c>
      <c r="F15">
        <f>'1.Ranking'!F13*$F$2</f>
        <v>4</v>
      </c>
      <c r="G15">
        <f>'1.Ranking'!G13*$G$2</f>
        <v>2</v>
      </c>
      <c r="H15">
        <f>'1.Ranking'!H13*$H$2</f>
        <v>1</v>
      </c>
      <c r="I15">
        <f>'1.Ranking'!I13*$I$2</f>
        <v>2</v>
      </c>
      <c r="J15">
        <f>'1.Ranking'!J13*$J$2</f>
        <v>0.25</v>
      </c>
      <c r="K15">
        <f>'1.Ranking'!K13*$K$2</f>
        <v>1</v>
      </c>
      <c r="L15">
        <f>'1.Ranking'!L13*$L$2</f>
        <v>0.25</v>
      </c>
      <c r="M15">
        <f>'1.Ranking'!M13*$M$2</f>
        <v>0.25</v>
      </c>
      <c r="N15">
        <f>'1.Ranking'!N13*$N$2</f>
        <v>1.5</v>
      </c>
      <c r="O15">
        <f>'1.Ranking'!O13*$O$2</f>
        <v>1.5</v>
      </c>
      <c r="P15">
        <f>'1.Ranking'!P13*$P$2</f>
        <v>1</v>
      </c>
      <c r="Q15">
        <f>'1.Ranking'!Q13*$Q$2</f>
        <v>1.5</v>
      </c>
      <c r="R15">
        <f t="shared" si="0"/>
        <v>3.5</v>
      </c>
      <c r="S15">
        <f t="shared" si="1"/>
        <v>4</v>
      </c>
      <c r="T15">
        <f t="shared" si="2"/>
        <v>1</v>
      </c>
      <c r="U15">
        <f t="shared" si="3"/>
        <v>1.75</v>
      </c>
      <c r="V15">
        <f t="shared" si="4"/>
        <v>3.5</v>
      </c>
      <c r="W15">
        <f t="shared" si="5"/>
        <v>2.5</v>
      </c>
    </row>
    <row r="16" spans="1:23" ht="28.8" x14ac:dyDescent="0.55000000000000004">
      <c r="A16" t="s">
        <v>32</v>
      </c>
      <c r="B16" t="s">
        <v>33</v>
      </c>
      <c r="C16" t="s">
        <v>58</v>
      </c>
      <c r="D16" t="s">
        <v>59</v>
      </c>
      <c r="E16" s="1" t="s">
        <v>60</v>
      </c>
      <c r="F16">
        <f>'1.Ranking'!F14*$F$2</f>
        <v>2</v>
      </c>
      <c r="G16">
        <f>'1.Ranking'!G14*$G$2</f>
        <v>1</v>
      </c>
      <c r="H16">
        <f>'1.Ranking'!H14*$H$2</f>
        <v>0.5</v>
      </c>
      <c r="I16">
        <f>'1.Ranking'!I14*$I$2</f>
        <v>2</v>
      </c>
      <c r="J16">
        <f>'1.Ranking'!J14*$J$2</f>
        <v>0.25</v>
      </c>
      <c r="K16">
        <f>'1.Ranking'!K14*$K$2</f>
        <v>3</v>
      </c>
      <c r="L16">
        <f>'1.Ranking'!L14*$L$2</f>
        <v>0.25</v>
      </c>
      <c r="M16">
        <f>'1.Ranking'!M14*$M$2</f>
        <v>0.25</v>
      </c>
      <c r="N16">
        <f>'1.Ranking'!N14*$N$2</f>
        <v>1.5</v>
      </c>
      <c r="O16">
        <f>'1.Ranking'!O14*$O$2</f>
        <v>1.5</v>
      </c>
      <c r="P16">
        <f>'1.Ranking'!P14*$P$2</f>
        <v>1</v>
      </c>
      <c r="Q16">
        <f>'1.Ranking'!Q14*$Q$2</f>
        <v>1.5</v>
      </c>
      <c r="R16">
        <f t="shared" si="0"/>
        <v>3.5</v>
      </c>
      <c r="S16">
        <f t="shared" si="1"/>
        <v>2</v>
      </c>
      <c r="T16">
        <f t="shared" si="2"/>
        <v>3</v>
      </c>
      <c r="U16">
        <f t="shared" si="3"/>
        <v>1.25</v>
      </c>
      <c r="V16">
        <f t="shared" si="4"/>
        <v>2.5</v>
      </c>
      <c r="W16">
        <f t="shared" si="5"/>
        <v>2.5</v>
      </c>
    </row>
    <row r="17" spans="1:23" ht="28.8" x14ac:dyDescent="0.55000000000000004">
      <c r="A17" t="s">
        <v>32</v>
      </c>
      <c r="B17" t="s">
        <v>33</v>
      </c>
      <c r="C17" t="s">
        <v>61</v>
      </c>
      <c r="D17" t="s">
        <v>59</v>
      </c>
      <c r="E17" s="1" t="s">
        <v>60</v>
      </c>
      <c r="F17">
        <f>'1.Ranking'!F15*$F$2</f>
        <v>2</v>
      </c>
      <c r="G17">
        <f>'1.Ranking'!G15*$G$2</f>
        <v>1</v>
      </c>
      <c r="H17">
        <f>'1.Ranking'!H15*$H$2</f>
        <v>0.5</v>
      </c>
      <c r="I17">
        <f>'1.Ranking'!I15*$I$2</f>
        <v>2</v>
      </c>
      <c r="J17">
        <f>'1.Ranking'!J15*$J$2</f>
        <v>0.25</v>
      </c>
      <c r="K17">
        <f>'1.Ranking'!K15*$K$2</f>
        <v>3</v>
      </c>
      <c r="L17">
        <f>'1.Ranking'!L15*$L$2</f>
        <v>0.25</v>
      </c>
      <c r="M17">
        <f>'1.Ranking'!M15*$M$2</f>
        <v>0.25</v>
      </c>
      <c r="N17">
        <f>'1.Ranking'!N15*$N$2</f>
        <v>1.5</v>
      </c>
      <c r="O17">
        <f>'1.Ranking'!O15*$O$2</f>
        <v>1.5</v>
      </c>
      <c r="P17">
        <f>'1.Ranking'!P15*$P$2</f>
        <v>1</v>
      </c>
      <c r="Q17">
        <f>'1.Ranking'!Q15*$Q$2</f>
        <v>1.5</v>
      </c>
      <c r="R17">
        <f t="shared" si="0"/>
        <v>3.5</v>
      </c>
      <c r="S17">
        <f t="shared" si="1"/>
        <v>2</v>
      </c>
      <c r="T17">
        <f t="shared" si="2"/>
        <v>3</v>
      </c>
      <c r="U17">
        <f t="shared" si="3"/>
        <v>1.25</v>
      </c>
      <c r="V17">
        <f t="shared" si="4"/>
        <v>2.5</v>
      </c>
      <c r="W17">
        <f t="shared" si="5"/>
        <v>2.5</v>
      </c>
    </row>
    <row r="18" spans="1:23" ht="28.8" x14ac:dyDescent="0.55000000000000004">
      <c r="A18" t="s">
        <v>32</v>
      </c>
      <c r="B18" t="s">
        <v>33</v>
      </c>
      <c r="C18" t="s">
        <v>62</v>
      </c>
      <c r="D18" t="s">
        <v>59</v>
      </c>
      <c r="E18" s="1" t="s">
        <v>63</v>
      </c>
      <c r="F18">
        <f>'1.Ranking'!F16*$F$2</f>
        <v>2</v>
      </c>
      <c r="G18">
        <f>'1.Ranking'!G16*$G$2</f>
        <v>2</v>
      </c>
      <c r="H18">
        <f>'1.Ranking'!H16*$H$2</f>
        <v>1</v>
      </c>
      <c r="I18">
        <f>'1.Ranking'!I16*$I$2</f>
        <v>2</v>
      </c>
      <c r="J18">
        <f>'1.Ranking'!J16*$J$2</f>
        <v>0.25</v>
      </c>
      <c r="K18">
        <f>'1.Ranking'!K16*$K$2</f>
        <v>3</v>
      </c>
      <c r="L18">
        <f>'1.Ranking'!L16*$L$2</f>
        <v>0.25</v>
      </c>
      <c r="M18">
        <f>'1.Ranking'!M16*$M$2</f>
        <v>0.25</v>
      </c>
      <c r="N18">
        <f>'1.Ranking'!N16*$N$2</f>
        <v>1.5</v>
      </c>
      <c r="O18">
        <f>'1.Ranking'!O16*$O$2</f>
        <v>1.5</v>
      </c>
      <c r="P18">
        <f>'1.Ranking'!P16*$P$2</f>
        <v>1</v>
      </c>
      <c r="Q18">
        <f>'1.Ranking'!Q16*$Q$2</f>
        <v>1.5</v>
      </c>
      <c r="R18">
        <f t="shared" si="0"/>
        <v>3.5</v>
      </c>
      <c r="S18">
        <f t="shared" si="1"/>
        <v>2</v>
      </c>
      <c r="T18">
        <f t="shared" si="2"/>
        <v>3</v>
      </c>
      <c r="U18">
        <f t="shared" si="3"/>
        <v>1.75</v>
      </c>
      <c r="V18">
        <f t="shared" si="4"/>
        <v>3.5</v>
      </c>
      <c r="W18">
        <f t="shared" si="5"/>
        <v>2.5</v>
      </c>
    </row>
    <row r="19" spans="1:23" ht="28.8" x14ac:dyDescent="0.55000000000000004">
      <c r="A19" t="s">
        <v>32</v>
      </c>
      <c r="B19" t="s">
        <v>64</v>
      </c>
      <c r="C19" t="s">
        <v>65</v>
      </c>
      <c r="D19" t="s">
        <v>41</v>
      </c>
      <c r="E19" s="1" t="s">
        <v>66</v>
      </c>
      <c r="F19">
        <f>'1.Ranking'!F17*$F$2</f>
        <v>4</v>
      </c>
      <c r="G19">
        <f>'1.Ranking'!G17*$G$2</f>
        <v>1</v>
      </c>
      <c r="H19">
        <f>'1.Ranking'!H17*$H$2</f>
        <v>0.5</v>
      </c>
      <c r="I19">
        <f>'1.Ranking'!I17*$I$2</f>
        <v>2</v>
      </c>
      <c r="J19">
        <f>'1.Ranking'!J17*$J$2</f>
        <v>0.25</v>
      </c>
      <c r="K19">
        <f>'1.Ranking'!K17*$K$2</f>
        <v>1</v>
      </c>
      <c r="L19">
        <f>'1.Ranking'!L17*$L$2</f>
        <v>0.25</v>
      </c>
      <c r="M19">
        <f>'1.Ranking'!M17*$M$2</f>
        <v>0.25</v>
      </c>
      <c r="N19">
        <f>'1.Ranking'!N17*$N$2</f>
        <v>1.5</v>
      </c>
      <c r="O19">
        <f>'1.Ranking'!O17*$O$2</f>
        <v>1.5</v>
      </c>
      <c r="P19">
        <f>'1.Ranking'!P17*$P$2</f>
        <v>1</v>
      </c>
      <c r="Q19">
        <f>'1.Ranking'!Q17*$Q$2</f>
        <v>1.5</v>
      </c>
      <c r="R19">
        <f t="shared" si="0"/>
        <v>3.5</v>
      </c>
      <c r="S19">
        <f t="shared" si="1"/>
        <v>4</v>
      </c>
      <c r="T19">
        <f t="shared" si="2"/>
        <v>1</v>
      </c>
      <c r="U19">
        <f t="shared" si="3"/>
        <v>1.25</v>
      </c>
      <c r="V19">
        <f t="shared" si="4"/>
        <v>2.5</v>
      </c>
      <c r="W19">
        <f t="shared" si="5"/>
        <v>2.5</v>
      </c>
    </row>
    <row r="20" spans="1:23" x14ac:dyDescent="0.55000000000000004">
      <c r="A20" t="s">
        <v>32</v>
      </c>
      <c r="B20" t="s">
        <v>33</v>
      </c>
      <c r="C20" t="s">
        <v>67</v>
      </c>
      <c r="D20" t="s">
        <v>27</v>
      </c>
      <c r="E20" s="1" t="s">
        <v>68</v>
      </c>
      <c r="F20">
        <f>'1.Ranking'!F18*$F$2</f>
        <v>4</v>
      </c>
      <c r="G20">
        <f>'1.Ranking'!G18*$G$2</f>
        <v>2</v>
      </c>
      <c r="H20">
        <f>'1.Ranking'!H18*$H$2</f>
        <v>0.5</v>
      </c>
      <c r="I20">
        <f>'1.Ranking'!I18*$I$2</f>
        <v>1</v>
      </c>
      <c r="J20">
        <f>'1.Ranking'!J18*$J$2</f>
        <v>0.25</v>
      </c>
      <c r="K20">
        <f>'1.Ranking'!K18*$K$2</f>
        <v>3</v>
      </c>
      <c r="L20">
        <f>'1.Ranking'!L18*$L$2</f>
        <v>0.25</v>
      </c>
      <c r="M20">
        <f>'1.Ranking'!M18*$M$2</f>
        <v>0.25</v>
      </c>
      <c r="N20">
        <f>'1.Ranking'!N18*$N$2</f>
        <v>1.5</v>
      </c>
      <c r="O20">
        <f>'1.Ranking'!O18*$O$2</f>
        <v>1.5</v>
      </c>
      <c r="P20">
        <f>'1.Ranking'!P18*$P$2</f>
        <v>1</v>
      </c>
      <c r="Q20">
        <f>'1.Ranking'!Q18*$Q$2</f>
        <v>1.5</v>
      </c>
      <c r="R20">
        <f t="shared" si="0"/>
        <v>2.5</v>
      </c>
      <c r="S20">
        <f t="shared" si="1"/>
        <v>4</v>
      </c>
      <c r="T20">
        <f t="shared" si="2"/>
        <v>3</v>
      </c>
      <c r="U20">
        <f t="shared" si="3"/>
        <v>1.25</v>
      </c>
      <c r="V20">
        <f t="shared" si="4"/>
        <v>3.5</v>
      </c>
      <c r="W20">
        <f t="shared" si="5"/>
        <v>2.5</v>
      </c>
    </row>
    <row r="21" spans="1:23" ht="28.8" x14ac:dyDescent="0.55000000000000004">
      <c r="A21" t="s">
        <v>69</v>
      </c>
      <c r="B21" t="s">
        <v>70</v>
      </c>
      <c r="C21" t="s">
        <v>71</v>
      </c>
      <c r="D21" t="s">
        <v>27</v>
      </c>
      <c r="E21" s="1" t="s">
        <v>72</v>
      </c>
      <c r="F21">
        <f>'1.Ranking'!F19*$F$2</f>
        <v>4</v>
      </c>
      <c r="G21">
        <f>'1.Ranking'!G19*$G$2</f>
        <v>1</v>
      </c>
      <c r="H21">
        <f>'1.Ranking'!H19*$H$2</f>
        <v>0.5</v>
      </c>
      <c r="I21">
        <f>'1.Ranking'!I19*$I$2</f>
        <v>2</v>
      </c>
      <c r="J21">
        <f>'1.Ranking'!J19*$J$2</f>
        <v>0.25</v>
      </c>
      <c r="K21">
        <f>'1.Ranking'!K19*$K$2</f>
        <v>3</v>
      </c>
      <c r="L21">
        <f>'1.Ranking'!L19*$L$2</f>
        <v>0.25</v>
      </c>
      <c r="M21">
        <f>'1.Ranking'!M19*$M$2</f>
        <v>0.25</v>
      </c>
      <c r="N21">
        <f>'1.Ranking'!N19*$N$2</f>
        <v>1.5</v>
      </c>
      <c r="O21">
        <f>'1.Ranking'!O19*$O$2</f>
        <v>1.5</v>
      </c>
      <c r="P21">
        <f>'1.Ranking'!P19*$P$2</f>
        <v>1</v>
      </c>
      <c r="Q21">
        <f>'1.Ranking'!Q19*$Q$2</f>
        <v>1.5</v>
      </c>
      <c r="R21">
        <f t="shared" si="0"/>
        <v>3.5</v>
      </c>
      <c r="S21">
        <f t="shared" si="1"/>
        <v>4</v>
      </c>
      <c r="T21">
        <f t="shared" si="2"/>
        <v>3</v>
      </c>
      <c r="U21">
        <f t="shared" si="3"/>
        <v>1.25</v>
      </c>
      <c r="V21">
        <f t="shared" si="4"/>
        <v>2.5</v>
      </c>
      <c r="W21">
        <f t="shared" si="5"/>
        <v>2.5</v>
      </c>
    </row>
    <row r="22" spans="1:23" ht="28.8" x14ac:dyDescent="0.55000000000000004">
      <c r="A22" t="s">
        <v>32</v>
      </c>
      <c r="B22" t="s">
        <v>33</v>
      </c>
      <c r="C22" t="s">
        <v>73</v>
      </c>
      <c r="D22" t="s">
        <v>27</v>
      </c>
      <c r="E22" s="1" t="s">
        <v>72</v>
      </c>
      <c r="F22">
        <f>'1.Ranking'!F20*$F$2</f>
        <v>4</v>
      </c>
      <c r="G22">
        <f>'1.Ranking'!G20*$G$2</f>
        <v>2</v>
      </c>
      <c r="H22">
        <f>'1.Ranking'!H20*$H$2</f>
        <v>0.5</v>
      </c>
      <c r="I22">
        <f>'1.Ranking'!I20*$I$2</f>
        <v>2</v>
      </c>
      <c r="J22">
        <f>'1.Ranking'!J20*$J$2</f>
        <v>0.25</v>
      </c>
      <c r="K22">
        <f>'1.Ranking'!K20*$K$2</f>
        <v>3</v>
      </c>
      <c r="L22">
        <f>'1.Ranking'!L20*$L$2</f>
        <v>0.25</v>
      </c>
      <c r="M22">
        <f>'1.Ranking'!M20*$M$2</f>
        <v>0.25</v>
      </c>
      <c r="N22">
        <f>'1.Ranking'!N20*$N$2</f>
        <v>1.5</v>
      </c>
      <c r="O22">
        <f>'1.Ranking'!O20*$O$2</f>
        <v>1.5</v>
      </c>
      <c r="P22">
        <f>'1.Ranking'!P20*$P$2</f>
        <v>1</v>
      </c>
      <c r="Q22">
        <f>'1.Ranking'!Q20*$Q$2</f>
        <v>1.5</v>
      </c>
      <c r="R22">
        <f t="shared" si="0"/>
        <v>3.5</v>
      </c>
      <c r="S22">
        <f t="shared" si="1"/>
        <v>4</v>
      </c>
      <c r="T22">
        <f t="shared" si="2"/>
        <v>3</v>
      </c>
      <c r="U22">
        <f t="shared" si="3"/>
        <v>1.25</v>
      </c>
      <c r="V22">
        <f t="shared" si="4"/>
        <v>3.5</v>
      </c>
      <c r="W22">
        <f t="shared" si="5"/>
        <v>2.5</v>
      </c>
    </row>
    <row r="23" spans="1:23" ht="28.8" x14ac:dyDescent="0.55000000000000004">
      <c r="A23" t="s">
        <v>32</v>
      </c>
      <c r="B23" t="s">
        <v>33</v>
      </c>
      <c r="C23" t="s">
        <v>74</v>
      </c>
      <c r="D23" t="s">
        <v>27</v>
      </c>
      <c r="E23" s="1" t="s">
        <v>72</v>
      </c>
      <c r="F23">
        <f>'1.Ranking'!F21*$F$2</f>
        <v>4</v>
      </c>
      <c r="G23">
        <f>'1.Ranking'!G21*$G$2</f>
        <v>1</v>
      </c>
      <c r="H23">
        <f>'1.Ranking'!H21*$H$2</f>
        <v>0.5</v>
      </c>
      <c r="I23">
        <f>'1.Ranking'!I21*$I$2</f>
        <v>2</v>
      </c>
      <c r="J23">
        <f>'1.Ranking'!J21*$J$2</f>
        <v>0.25</v>
      </c>
      <c r="K23">
        <f>'1.Ranking'!K21*$K$2</f>
        <v>3</v>
      </c>
      <c r="L23">
        <f>'1.Ranking'!L21*$L$2</f>
        <v>0.25</v>
      </c>
      <c r="M23">
        <f>'1.Ranking'!M21*$M$2</f>
        <v>0.25</v>
      </c>
      <c r="N23">
        <f>'1.Ranking'!N21*$N$2</f>
        <v>1.5</v>
      </c>
      <c r="O23">
        <f>'1.Ranking'!O21*$O$2</f>
        <v>1.5</v>
      </c>
      <c r="P23">
        <f>'1.Ranking'!P21*$P$2</f>
        <v>1</v>
      </c>
      <c r="Q23">
        <f>'1.Ranking'!Q21*$Q$2</f>
        <v>1.5</v>
      </c>
      <c r="R23">
        <f t="shared" si="0"/>
        <v>3.5</v>
      </c>
      <c r="S23">
        <f t="shared" si="1"/>
        <v>4</v>
      </c>
      <c r="T23">
        <f t="shared" si="2"/>
        <v>3</v>
      </c>
      <c r="U23">
        <f t="shared" si="3"/>
        <v>1.25</v>
      </c>
      <c r="V23">
        <f t="shared" si="4"/>
        <v>2.5</v>
      </c>
      <c r="W23">
        <f t="shared" si="5"/>
        <v>2.5</v>
      </c>
    </row>
    <row r="24" spans="1:23" ht="28.8" x14ac:dyDescent="0.55000000000000004">
      <c r="A24" t="s">
        <v>75</v>
      </c>
      <c r="B24" t="s">
        <v>64</v>
      </c>
      <c r="C24" t="s">
        <v>76</v>
      </c>
      <c r="D24" t="s">
        <v>59</v>
      </c>
      <c r="E24" s="1" t="s">
        <v>77</v>
      </c>
      <c r="F24">
        <f>'1.Ranking'!F22*$F$2</f>
        <v>4</v>
      </c>
      <c r="G24">
        <f>'1.Ranking'!G22*$G$2</f>
        <v>1</v>
      </c>
      <c r="H24">
        <f>'1.Ranking'!H22*$H$2</f>
        <v>0.5</v>
      </c>
      <c r="I24">
        <f>'1.Ranking'!I22*$I$2</f>
        <v>2</v>
      </c>
      <c r="J24">
        <f>'1.Ranking'!J22*$J$2</f>
        <v>0.25</v>
      </c>
      <c r="K24">
        <f>'1.Ranking'!K22*$K$2</f>
        <v>3</v>
      </c>
      <c r="L24">
        <f>'1.Ranking'!L22*$L$2</f>
        <v>0.25</v>
      </c>
      <c r="M24">
        <f>'1.Ranking'!M22*$M$2</f>
        <v>0.25</v>
      </c>
      <c r="N24">
        <f>'1.Ranking'!N22*$N$2</f>
        <v>1.5</v>
      </c>
      <c r="O24">
        <f>'1.Ranking'!O22*$O$2</f>
        <v>1.5</v>
      </c>
      <c r="P24">
        <f>'1.Ranking'!P22*$P$2</f>
        <v>1</v>
      </c>
      <c r="Q24">
        <f>'1.Ranking'!Q22*$Q$2</f>
        <v>1.5</v>
      </c>
      <c r="R24">
        <f t="shared" si="0"/>
        <v>3.5</v>
      </c>
      <c r="S24">
        <f t="shared" si="1"/>
        <v>4</v>
      </c>
      <c r="T24">
        <f t="shared" si="2"/>
        <v>3</v>
      </c>
      <c r="U24">
        <f t="shared" si="3"/>
        <v>1.25</v>
      </c>
      <c r="V24">
        <f t="shared" si="4"/>
        <v>2.5</v>
      </c>
      <c r="W24">
        <f t="shared" si="5"/>
        <v>2.5</v>
      </c>
    </row>
    <row r="25" spans="1:23" x14ac:dyDescent="0.55000000000000004">
      <c r="A25" t="s">
        <v>32</v>
      </c>
      <c r="B25" t="s">
        <v>33</v>
      </c>
      <c r="C25" t="s">
        <v>79</v>
      </c>
      <c r="D25" t="s">
        <v>27</v>
      </c>
      <c r="E25" s="1" t="s">
        <v>80</v>
      </c>
      <c r="F25">
        <f>'1.Ranking'!F23*$F$2</f>
        <v>4</v>
      </c>
      <c r="G25">
        <f>'1.Ranking'!G23*$G$2</f>
        <v>1</v>
      </c>
      <c r="H25">
        <f>'1.Ranking'!H23*$H$2</f>
        <v>0.5</v>
      </c>
      <c r="I25">
        <f>'1.Ranking'!I23*$I$2</f>
        <v>2</v>
      </c>
      <c r="J25">
        <f>'1.Ranking'!J23*$J$2</f>
        <v>0.25</v>
      </c>
      <c r="K25">
        <f>'1.Ranking'!K23*$K$2</f>
        <v>3</v>
      </c>
      <c r="L25">
        <f>'1.Ranking'!L23*$L$2</f>
        <v>0.25</v>
      </c>
      <c r="M25">
        <f>'1.Ranking'!M23*$M$2</f>
        <v>0.25</v>
      </c>
      <c r="N25">
        <f>'1.Ranking'!N23*$N$2</f>
        <v>1.5</v>
      </c>
      <c r="O25">
        <f>'1.Ranking'!O23*$O$2</f>
        <v>1.5</v>
      </c>
      <c r="P25">
        <f>'1.Ranking'!P23*$P$2</f>
        <v>1</v>
      </c>
      <c r="Q25">
        <f>'1.Ranking'!Q23*$Q$2</f>
        <v>1.5</v>
      </c>
      <c r="R25">
        <f t="shared" si="0"/>
        <v>3.5</v>
      </c>
      <c r="S25">
        <f t="shared" si="1"/>
        <v>4</v>
      </c>
      <c r="T25">
        <f t="shared" si="2"/>
        <v>3</v>
      </c>
      <c r="U25">
        <f t="shared" si="3"/>
        <v>1.25</v>
      </c>
      <c r="V25">
        <f t="shared" si="4"/>
        <v>2.5</v>
      </c>
      <c r="W25">
        <f t="shared" si="5"/>
        <v>2.5</v>
      </c>
    </row>
    <row r="26" spans="1:23" ht="28.8" x14ac:dyDescent="0.55000000000000004">
      <c r="A26" t="s">
        <v>32</v>
      </c>
      <c r="B26" t="s">
        <v>33</v>
      </c>
      <c r="C26" t="s">
        <v>81</v>
      </c>
      <c r="D26" t="s">
        <v>41</v>
      </c>
      <c r="E26" s="1" t="s">
        <v>82</v>
      </c>
      <c r="F26">
        <f>'1.Ranking'!F24*$F$2</f>
        <v>4</v>
      </c>
      <c r="G26">
        <f>'1.Ranking'!G24*$G$2</f>
        <v>1</v>
      </c>
      <c r="H26">
        <f>'1.Ranking'!H24*$H$2</f>
        <v>1</v>
      </c>
      <c r="I26">
        <f>'1.Ranking'!I24*$I$2</f>
        <v>2</v>
      </c>
      <c r="J26">
        <f>'1.Ranking'!J24*$J$2</f>
        <v>0.25</v>
      </c>
      <c r="K26">
        <f>'1.Ranking'!K24*$K$2</f>
        <v>1</v>
      </c>
      <c r="L26">
        <f>'1.Ranking'!L24*$L$2</f>
        <v>0.25</v>
      </c>
      <c r="M26">
        <f>'1.Ranking'!M24*$M$2</f>
        <v>0.25</v>
      </c>
      <c r="N26">
        <f>'1.Ranking'!N24*$N$2</f>
        <v>1.5</v>
      </c>
      <c r="O26">
        <f>'1.Ranking'!O24*$O$2</f>
        <v>1.5</v>
      </c>
      <c r="P26">
        <f>'1.Ranking'!P24*$P$2</f>
        <v>1</v>
      </c>
      <c r="Q26">
        <f>'1.Ranking'!Q24*$Q$2</f>
        <v>1.5</v>
      </c>
      <c r="R26">
        <f t="shared" si="0"/>
        <v>3.5</v>
      </c>
      <c r="S26">
        <f t="shared" si="1"/>
        <v>4</v>
      </c>
      <c r="T26">
        <f t="shared" si="2"/>
        <v>1</v>
      </c>
      <c r="U26">
        <f t="shared" si="3"/>
        <v>1.75</v>
      </c>
      <c r="V26">
        <f t="shared" si="4"/>
        <v>2.5</v>
      </c>
      <c r="W26">
        <f t="shared" si="5"/>
        <v>2.5</v>
      </c>
    </row>
    <row r="27" spans="1:23" ht="28.8" x14ac:dyDescent="0.55000000000000004">
      <c r="A27" t="s">
        <v>24</v>
      </c>
      <c r="B27" t="s">
        <v>83</v>
      </c>
      <c r="C27" t="s">
        <v>84</v>
      </c>
      <c r="D27" t="s">
        <v>41</v>
      </c>
      <c r="E27" s="1" t="s">
        <v>85</v>
      </c>
      <c r="F27">
        <f>'1.Ranking'!F25*$F$2</f>
        <v>4</v>
      </c>
      <c r="G27">
        <f>'1.Ranking'!G25*$G$2</f>
        <v>2</v>
      </c>
      <c r="H27">
        <f>'1.Ranking'!H25*$H$2</f>
        <v>0.5</v>
      </c>
      <c r="I27">
        <f>'1.Ranking'!I25*$I$2</f>
        <v>2</v>
      </c>
      <c r="J27">
        <f>'1.Ranking'!J25*$J$2</f>
        <v>0.25</v>
      </c>
      <c r="K27">
        <f>'1.Ranking'!K25*$K$2</f>
        <v>1</v>
      </c>
      <c r="L27">
        <f>'1.Ranking'!L25*$L$2</f>
        <v>0.25</v>
      </c>
      <c r="M27">
        <f>'1.Ranking'!M25*$M$2</f>
        <v>0.25</v>
      </c>
      <c r="N27">
        <f>'1.Ranking'!N25*$N$2</f>
        <v>1.5</v>
      </c>
      <c r="O27">
        <f>'1.Ranking'!O25*$O$2</f>
        <v>1.5</v>
      </c>
      <c r="P27">
        <f>'1.Ranking'!P25*$P$2</f>
        <v>1</v>
      </c>
      <c r="Q27">
        <f>'1.Ranking'!Q25*$Q$2</f>
        <v>1.5</v>
      </c>
      <c r="R27">
        <f t="shared" si="0"/>
        <v>3.5</v>
      </c>
      <c r="S27">
        <f t="shared" si="1"/>
        <v>4</v>
      </c>
      <c r="T27">
        <f t="shared" si="2"/>
        <v>1</v>
      </c>
      <c r="U27">
        <f t="shared" si="3"/>
        <v>1.25</v>
      </c>
      <c r="V27">
        <f t="shared" si="4"/>
        <v>3.5</v>
      </c>
      <c r="W27">
        <f t="shared" si="5"/>
        <v>2.5</v>
      </c>
    </row>
    <row r="28" spans="1:23" ht="28.8" x14ac:dyDescent="0.55000000000000004">
      <c r="A28" t="s">
        <v>32</v>
      </c>
      <c r="B28" t="s">
        <v>33</v>
      </c>
      <c r="C28" t="s">
        <v>87</v>
      </c>
      <c r="D28" t="s">
        <v>41</v>
      </c>
      <c r="E28" s="1" t="s">
        <v>85</v>
      </c>
      <c r="F28">
        <f>'1.Ranking'!F26*$F$2</f>
        <v>4</v>
      </c>
      <c r="G28">
        <f>'1.Ranking'!G26*$G$2</f>
        <v>2</v>
      </c>
      <c r="H28">
        <f>'1.Ranking'!H26*$H$2</f>
        <v>0.5</v>
      </c>
      <c r="I28">
        <f>'1.Ranking'!I26*$I$2</f>
        <v>2</v>
      </c>
      <c r="J28">
        <f>'1.Ranking'!J26*$J$2</f>
        <v>0.25</v>
      </c>
      <c r="K28">
        <f>'1.Ranking'!K26*$K$2</f>
        <v>1</v>
      </c>
      <c r="L28">
        <f>'1.Ranking'!L26*$L$2</f>
        <v>0.25</v>
      </c>
      <c r="M28">
        <f>'1.Ranking'!M26*$M$2</f>
        <v>0.25</v>
      </c>
      <c r="N28">
        <f>'1.Ranking'!N26*$N$2</f>
        <v>1.5</v>
      </c>
      <c r="O28">
        <f>'1.Ranking'!O26*$O$2</f>
        <v>1.5</v>
      </c>
      <c r="P28">
        <f>'1.Ranking'!P26*$P$2</f>
        <v>1</v>
      </c>
      <c r="Q28">
        <f>'1.Ranking'!Q26*$Q$2</f>
        <v>1.5</v>
      </c>
      <c r="R28">
        <f t="shared" si="0"/>
        <v>3.5</v>
      </c>
      <c r="S28">
        <f t="shared" si="1"/>
        <v>4</v>
      </c>
      <c r="T28">
        <f t="shared" si="2"/>
        <v>1</v>
      </c>
      <c r="U28">
        <f t="shared" si="3"/>
        <v>1.25</v>
      </c>
      <c r="V28">
        <f t="shared" si="4"/>
        <v>3.5</v>
      </c>
      <c r="W28">
        <f t="shared" si="5"/>
        <v>2.5</v>
      </c>
    </row>
    <row r="29" spans="1:23" ht="28.8" x14ac:dyDescent="0.55000000000000004">
      <c r="A29" t="s">
        <v>88</v>
      </c>
      <c r="B29" t="s">
        <v>25</v>
      </c>
      <c r="C29" t="s">
        <v>89</v>
      </c>
      <c r="D29" t="s">
        <v>41</v>
      </c>
      <c r="E29" s="1" t="s">
        <v>85</v>
      </c>
      <c r="F29">
        <f>'1.Ranking'!F27*$F$2</f>
        <v>4</v>
      </c>
      <c r="G29">
        <f>'1.Ranking'!G27*$G$2</f>
        <v>2</v>
      </c>
      <c r="H29">
        <f>'1.Ranking'!H27*$H$2</f>
        <v>0.5</v>
      </c>
      <c r="I29">
        <f>'1.Ranking'!I27*$I$2</f>
        <v>2</v>
      </c>
      <c r="J29">
        <f>'1.Ranking'!J27*$J$2</f>
        <v>0.25</v>
      </c>
      <c r="K29">
        <f>'1.Ranking'!K27*$K$2</f>
        <v>1</v>
      </c>
      <c r="L29">
        <f>'1.Ranking'!L27*$L$2</f>
        <v>0.25</v>
      </c>
      <c r="M29">
        <f>'1.Ranking'!M27*$M$2</f>
        <v>0.25</v>
      </c>
      <c r="N29">
        <f>'1.Ranking'!N27*$N$2</f>
        <v>1.5</v>
      </c>
      <c r="O29">
        <f>'1.Ranking'!O27*$O$2</f>
        <v>1.5</v>
      </c>
      <c r="P29">
        <f>'1.Ranking'!P27*$P$2</f>
        <v>1</v>
      </c>
      <c r="Q29">
        <f>'1.Ranking'!Q27*$Q$2</f>
        <v>1.5</v>
      </c>
      <c r="R29">
        <f t="shared" si="0"/>
        <v>3.5</v>
      </c>
      <c r="S29">
        <f t="shared" si="1"/>
        <v>4</v>
      </c>
      <c r="T29">
        <f t="shared" si="2"/>
        <v>1</v>
      </c>
      <c r="U29">
        <f t="shared" si="3"/>
        <v>1.25</v>
      </c>
      <c r="V29">
        <f t="shared" si="4"/>
        <v>3.5</v>
      </c>
      <c r="W29">
        <f t="shared" si="5"/>
        <v>2.5</v>
      </c>
    </row>
    <row r="30" spans="1:23" ht="28.8" x14ac:dyDescent="0.55000000000000004">
      <c r="A30" t="s">
        <v>32</v>
      </c>
      <c r="B30" t="s">
        <v>33</v>
      </c>
      <c r="C30" t="s">
        <v>90</v>
      </c>
      <c r="D30" t="s">
        <v>59</v>
      </c>
      <c r="E30" s="1" t="s">
        <v>91</v>
      </c>
      <c r="F30">
        <f>'1.Ranking'!F28*$F$2</f>
        <v>2</v>
      </c>
      <c r="G30">
        <f>'1.Ranking'!G28*$G$2</f>
        <v>2</v>
      </c>
      <c r="H30">
        <f>'1.Ranking'!H28*$H$2</f>
        <v>1</v>
      </c>
      <c r="I30">
        <f>'1.Ranking'!I28*$I$2</f>
        <v>2</v>
      </c>
      <c r="J30">
        <f>'1.Ranking'!J28*$J$2</f>
        <v>0.25</v>
      </c>
      <c r="K30">
        <f>'1.Ranking'!K28*$K$2</f>
        <v>3</v>
      </c>
      <c r="L30">
        <f>'1.Ranking'!L28*$L$2</f>
        <v>0.25</v>
      </c>
      <c r="M30">
        <f>'1.Ranking'!M28*$M$2</f>
        <v>0.25</v>
      </c>
      <c r="N30">
        <f>'1.Ranking'!N28*$N$2</f>
        <v>1.5</v>
      </c>
      <c r="O30">
        <f>'1.Ranking'!O28*$O$2</f>
        <v>1.5</v>
      </c>
      <c r="P30">
        <f>'1.Ranking'!P28*$P$2</f>
        <v>1</v>
      </c>
      <c r="Q30">
        <f>'1.Ranking'!Q28*$Q$2</f>
        <v>1.5</v>
      </c>
      <c r="R30">
        <f t="shared" si="0"/>
        <v>3.5</v>
      </c>
      <c r="S30">
        <f t="shared" si="1"/>
        <v>2</v>
      </c>
      <c r="T30">
        <f t="shared" si="2"/>
        <v>3</v>
      </c>
      <c r="U30">
        <f t="shared" si="3"/>
        <v>1.75</v>
      </c>
      <c r="V30">
        <f t="shared" si="4"/>
        <v>3.5</v>
      </c>
      <c r="W30">
        <f t="shared" si="5"/>
        <v>2.5</v>
      </c>
    </row>
    <row r="31" spans="1:23" x14ac:dyDescent="0.55000000000000004">
      <c r="A31" t="s">
        <v>92</v>
      </c>
      <c r="B31" t="s">
        <v>93</v>
      </c>
      <c r="C31" t="s">
        <v>94</v>
      </c>
      <c r="D31" t="s">
        <v>95</v>
      </c>
      <c r="E31" s="1" t="s">
        <v>96</v>
      </c>
      <c r="F31">
        <f>'1.Ranking'!F29*$F$2</f>
        <v>2</v>
      </c>
      <c r="G31">
        <f>'1.Ranking'!G29*$G$2</f>
        <v>1</v>
      </c>
      <c r="H31">
        <f>'1.Ranking'!H29*$H$2</f>
        <v>0.5</v>
      </c>
      <c r="I31">
        <f>'1.Ranking'!I29*$I$2</f>
        <v>2</v>
      </c>
      <c r="J31">
        <f>'1.Ranking'!J29*$J$2</f>
        <v>0.25</v>
      </c>
      <c r="K31">
        <f>'1.Ranking'!K29*$K$2</f>
        <v>3</v>
      </c>
      <c r="L31">
        <f>'1.Ranking'!L29*$L$2</f>
        <v>0.25</v>
      </c>
      <c r="M31">
        <f>'1.Ranking'!M29*$M$2</f>
        <v>0.25</v>
      </c>
      <c r="N31">
        <f>'1.Ranking'!N29*$N$2</f>
        <v>1.5</v>
      </c>
      <c r="O31">
        <f>'1.Ranking'!O29*$O$2</f>
        <v>1.5</v>
      </c>
      <c r="P31">
        <f>'1.Ranking'!P29*$P$2</f>
        <v>1</v>
      </c>
      <c r="Q31">
        <f>'1.Ranking'!Q29*$Q$2</f>
        <v>1.5</v>
      </c>
      <c r="R31">
        <f t="shared" si="0"/>
        <v>3.5</v>
      </c>
      <c r="S31">
        <f t="shared" si="1"/>
        <v>2</v>
      </c>
      <c r="T31">
        <f t="shared" si="2"/>
        <v>3</v>
      </c>
      <c r="U31">
        <f t="shared" si="3"/>
        <v>1.25</v>
      </c>
      <c r="V31">
        <f t="shared" si="4"/>
        <v>2.5</v>
      </c>
      <c r="W31">
        <f t="shared" si="5"/>
        <v>2.5</v>
      </c>
    </row>
    <row r="32" spans="1:23" ht="28.8" x14ac:dyDescent="0.55000000000000004">
      <c r="A32" t="s">
        <v>75</v>
      </c>
      <c r="B32" t="s">
        <v>64</v>
      </c>
      <c r="C32" t="s">
        <v>98</v>
      </c>
      <c r="D32" t="s">
        <v>95</v>
      </c>
      <c r="E32" s="1" t="s">
        <v>99</v>
      </c>
      <c r="F32">
        <f>'1.Ranking'!F30*$F$2</f>
        <v>2</v>
      </c>
      <c r="G32">
        <f>'1.Ranking'!G30*$G$2</f>
        <v>1</v>
      </c>
      <c r="H32">
        <f>'1.Ranking'!H30*$H$2</f>
        <v>0.5</v>
      </c>
      <c r="I32">
        <f>'1.Ranking'!I30*$I$2</f>
        <v>2</v>
      </c>
      <c r="J32">
        <f>'1.Ranking'!J30*$J$2</f>
        <v>0.25</v>
      </c>
      <c r="K32">
        <f>'1.Ranking'!K30*$K$2</f>
        <v>3</v>
      </c>
      <c r="L32">
        <f>'1.Ranking'!L30*$L$2</f>
        <v>0.25</v>
      </c>
      <c r="M32">
        <f>'1.Ranking'!M30*$M$2</f>
        <v>0.25</v>
      </c>
      <c r="N32">
        <f>'1.Ranking'!N30*$N$2</f>
        <v>1.5</v>
      </c>
      <c r="O32">
        <f>'1.Ranking'!O30*$O$2</f>
        <v>1.5</v>
      </c>
      <c r="P32">
        <f>'1.Ranking'!P30*$P$2</f>
        <v>1</v>
      </c>
      <c r="Q32">
        <f>'1.Ranking'!Q30*$Q$2</f>
        <v>1.5</v>
      </c>
      <c r="R32">
        <f t="shared" si="0"/>
        <v>3.5</v>
      </c>
      <c r="S32">
        <f t="shared" si="1"/>
        <v>2</v>
      </c>
      <c r="T32">
        <f t="shared" si="2"/>
        <v>3</v>
      </c>
      <c r="U32">
        <f t="shared" si="3"/>
        <v>1.25</v>
      </c>
      <c r="V32">
        <f t="shared" si="4"/>
        <v>2.5</v>
      </c>
      <c r="W32">
        <f t="shared" si="5"/>
        <v>2.5</v>
      </c>
    </row>
    <row r="33" spans="1:23" ht="28.8" x14ac:dyDescent="0.55000000000000004">
      <c r="A33" t="s">
        <v>32</v>
      </c>
      <c r="B33" t="s">
        <v>64</v>
      </c>
      <c r="C33" t="s">
        <v>100</v>
      </c>
      <c r="D33" t="s">
        <v>41</v>
      </c>
      <c r="E33" s="1" t="s">
        <v>101</v>
      </c>
      <c r="F33">
        <f>'1.Ranking'!F31*$F$2</f>
        <v>4</v>
      </c>
      <c r="G33">
        <f>'1.Ranking'!G31*$G$2</f>
        <v>1</v>
      </c>
      <c r="H33">
        <f>'1.Ranking'!H31*$H$2</f>
        <v>1</v>
      </c>
      <c r="I33">
        <f>'1.Ranking'!I31*$I$2</f>
        <v>2</v>
      </c>
      <c r="J33">
        <f>'1.Ranking'!J31*$J$2</f>
        <v>0.25</v>
      </c>
      <c r="K33">
        <f>'1.Ranking'!K31*$K$2</f>
        <v>1</v>
      </c>
      <c r="L33">
        <f>'1.Ranking'!L31*$L$2</f>
        <v>0.25</v>
      </c>
      <c r="M33">
        <f>'1.Ranking'!M31*$M$2</f>
        <v>0.25</v>
      </c>
      <c r="N33">
        <f>'1.Ranking'!N31*$N$2</f>
        <v>1.5</v>
      </c>
      <c r="O33">
        <f>'1.Ranking'!O31*$O$2</f>
        <v>1.5</v>
      </c>
      <c r="P33">
        <f>'1.Ranking'!P31*$P$2</f>
        <v>1</v>
      </c>
      <c r="Q33">
        <f>'1.Ranking'!Q31*$Q$2</f>
        <v>1.5</v>
      </c>
      <c r="R33">
        <f t="shared" si="0"/>
        <v>3.5</v>
      </c>
      <c r="S33">
        <f t="shared" si="1"/>
        <v>4</v>
      </c>
      <c r="T33">
        <f t="shared" si="2"/>
        <v>1</v>
      </c>
      <c r="U33">
        <f t="shared" si="3"/>
        <v>1.75</v>
      </c>
      <c r="V33">
        <f t="shared" si="4"/>
        <v>2.5</v>
      </c>
      <c r="W33">
        <f t="shared" si="5"/>
        <v>2.5</v>
      </c>
    </row>
    <row r="34" spans="1:23" ht="28.8" x14ac:dyDescent="0.55000000000000004">
      <c r="A34" t="s">
        <v>32</v>
      </c>
      <c r="B34" t="s">
        <v>64</v>
      </c>
      <c r="C34" t="s">
        <v>102</v>
      </c>
      <c r="D34" t="s">
        <v>41</v>
      </c>
      <c r="E34" s="1" t="s">
        <v>101</v>
      </c>
      <c r="F34">
        <f>'1.Ranking'!F32*$F$2</f>
        <v>4</v>
      </c>
      <c r="G34">
        <f>'1.Ranking'!G32*$G$2</f>
        <v>1</v>
      </c>
      <c r="H34">
        <f>'1.Ranking'!H32*$H$2</f>
        <v>1</v>
      </c>
      <c r="I34">
        <f>'1.Ranking'!I32*$I$2</f>
        <v>2</v>
      </c>
      <c r="J34">
        <f>'1.Ranking'!J32*$J$2</f>
        <v>0.25</v>
      </c>
      <c r="K34">
        <f>'1.Ranking'!K32*$K$2</f>
        <v>1</v>
      </c>
      <c r="L34">
        <f>'1.Ranking'!L32*$L$2</f>
        <v>0.25</v>
      </c>
      <c r="M34">
        <f>'1.Ranking'!M32*$M$2</f>
        <v>0.25</v>
      </c>
      <c r="N34">
        <f>'1.Ranking'!N32*$N$2</f>
        <v>1.5</v>
      </c>
      <c r="O34">
        <f>'1.Ranking'!O32*$O$2</f>
        <v>1.5</v>
      </c>
      <c r="P34">
        <f>'1.Ranking'!P32*$P$2</f>
        <v>1</v>
      </c>
      <c r="Q34">
        <f>'1.Ranking'!Q32*$Q$2</f>
        <v>1.5</v>
      </c>
      <c r="R34">
        <f t="shared" si="0"/>
        <v>3.5</v>
      </c>
      <c r="S34">
        <f t="shared" si="1"/>
        <v>4</v>
      </c>
      <c r="T34">
        <f t="shared" si="2"/>
        <v>1</v>
      </c>
      <c r="U34">
        <f t="shared" si="3"/>
        <v>1.75</v>
      </c>
      <c r="V34">
        <f t="shared" si="4"/>
        <v>2.5</v>
      </c>
      <c r="W34">
        <f t="shared" si="5"/>
        <v>2.5</v>
      </c>
    </row>
    <row r="35" spans="1:23" ht="28.8" x14ac:dyDescent="0.55000000000000004">
      <c r="A35" t="s">
        <v>35</v>
      </c>
      <c r="B35" t="s">
        <v>36</v>
      </c>
      <c r="C35" t="s">
        <v>103</v>
      </c>
      <c r="D35" t="s">
        <v>95</v>
      </c>
      <c r="E35" s="1" t="s">
        <v>104</v>
      </c>
      <c r="F35">
        <f>'1.Ranking'!F33*$F$2</f>
        <v>2</v>
      </c>
      <c r="G35">
        <f>'1.Ranking'!G33*$G$2</f>
        <v>1</v>
      </c>
      <c r="H35">
        <f>'1.Ranking'!H33*$H$2</f>
        <v>0.5</v>
      </c>
      <c r="I35">
        <f>'1.Ranking'!I33*$I$2</f>
        <v>2</v>
      </c>
      <c r="J35">
        <f>'1.Ranking'!J33*$J$2</f>
        <v>0.25</v>
      </c>
      <c r="K35">
        <f>'1.Ranking'!K33*$K$2</f>
        <v>3</v>
      </c>
      <c r="L35">
        <f>'1.Ranking'!L33*$L$2</f>
        <v>0.25</v>
      </c>
      <c r="M35">
        <f>'1.Ranking'!M33*$M$2</f>
        <v>0.25</v>
      </c>
      <c r="N35">
        <f>'1.Ranking'!N33*$N$2</f>
        <v>1.5</v>
      </c>
      <c r="O35">
        <f>'1.Ranking'!O33*$O$2</f>
        <v>1.5</v>
      </c>
      <c r="P35">
        <f>'1.Ranking'!P33*$P$2</f>
        <v>1</v>
      </c>
      <c r="Q35">
        <f>'1.Ranking'!Q33*$Q$2</f>
        <v>1.5</v>
      </c>
      <c r="R35">
        <f t="shared" si="0"/>
        <v>3.5</v>
      </c>
      <c r="S35">
        <f t="shared" si="1"/>
        <v>2</v>
      </c>
      <c r="T35">
        <f t="shared" si="2"/>
        <v>3</v>
      </c>
      <c r="U35">
        <f t="shared" si="3"/>
        <v>1.25</v>
      </c>
      <c r="V35">
        <f t="shared" si="4"/>
        <v>2.5</v>
      </c>
      <c r="W35">
        <f t="shared" si="5"/>
        <v>2.5</v>
      </c>
    </row>
    <row r="36" spans="1:23" x14ac:dyDescent="0.55000000000000004">
      <c r="A36" t="s">
        <v>35</v>
      </c>
      <c r="B36" t="s">
        <v>36</v>
      </c>
      <c r="C36" t="s">
        <v>105</v>
      </c>
      <c r="D36" t="s">
        <v>59</v>
      </c>
      <c r="E36" s="1" t="s">
        <v>78</v>
      </c>
      <c r="F36">
        <f>'1.Ranking'!F34*$F$2</f>
        <v>2</v>
      </c>
      <c r="G36">
        <f>'1.Ranking'!G34*$G$2</f>
        <v>1</v>
      </c>
      <c r="H36">
        <f>'1.Ranking'!H34*$H$2</f>
        <v>0.5</v>
      </c>
      <c r="I36">
        <f>'1.Ranking'!I34*$I$2</f>
        <v>0.5</v>
      </c>
      <c r="J36">
        <f>'1.Ranking'!J34*$J$2</f>
        <v>0.25</v>
      </c>
      <c r="K36">
        <f>'1.Ranking'!K34*$K$2</f>
        <v>3</v>
      </c>
      <c r="L36">
        <f>'1.Ranking'!L34*$L$2</f>
        <v>0.25</v>
      </c>
      <c r="M36">
        <f>'1.Ranking'!M34*$M$2</f>
        <v>0.25</v>
      </c>
      <c r="N36">
        <f>'1.Ranking'!N34*$N$2</f>
        <v>1.5</v>
      </c>
      <c r="O36">
        <f>'1.Ranking'!O34*$O$2</f>
        <v>1.5</v>
      </c>
      <c r="P36">
        <f>'1.Ranking'!P34*$P$2</f>
        <v>1</v>
      </c>
      <c r="Q36">
        <f>'1.Ranking'!Q34*$Q$2</f>
        <v>1.5</v>
      </c>
      <c r="R36">
        <f t="shared" si="0"/>
        <v>2</v>
      </c>
      <c r="S36">
        <f t="shared" si="1"/>
        <v>2</v>
      </c>
      <c r="T36">
        <f t="shared" si="2"/>
        <v>3</v>
      </c>
      <c r="U36">
        <f t="shared" si="3"/>
        <v>1.25</v>
      </c>
      <c r="V36">
        <f t="shared" si="4"/>
        <v>2.5</v>
      </c>
      <c r="W36">
        <f t="shared" si="5"/>
        <v>2.5</v>
      </c>
    </row>
    <row r="37" spans="1:23" ht="28.8" x14ac:dyDescent="0.55000000000000004">
      <c r="A37" t="s">
        <v>35</v>
      </c>
      <c r="B37" t="s">
        <v>106</v>
      </c>
      <c r="C37" t="s">
        <v>107</v>
      </c>
      <c r="D37" t="s">
        <v>41</v>
      </c>
      <c r="E37" s="1" t="s">
        <v>55</v>
      </c>
      <c r="F37">
        <f>'1.Ranking'!F35*$F$2</f>
        <v>4</v>
      </c>
      <c r="G37">
        <f>'1.Ranking'!G35*$G$2</f>
        <v>1</v>
      </c>
      <c r="H37">
        <f>'1.Ranking'!H35*$H$2</f>
        <v>0.5</v>
      </c>
      <c r="I37">
        <f>'1.Ranking'!I35*$I$2</f>
        <v>0.5</v>
      </c>
      <c r="J37">
        <f>'1.Ranking'!J35*$J$2</f>
        <v>0.25</v>
      </c>
      <c r="K37">
        <f>'1.Ranking'!K35*$K$2</f>
        <v>1</v>
      </c>
      <c r="L37">
        <f>'1.Ranking'!L35*$L$2</f>
        <v>0.25</v>
      </c>
      <c r="M37">
        <f>'1.Ranking'!M35*$M$2</f>
        <v>0.25</v>
      </c>
      <c r="N37">
        <f>'1.Ranking'!N35*$N$2</f>
        <v>1.5</v>
      </c>
      <c r="O37">
        <f>'1.Ranking'!O35*$O$2</f>
        <v>1.5</v>
      </c>
      <c r="P37">
        <f>'1.Ranking'!P35*$P$2</f>
        <v>1</v>
      </c>
      <c r="Q37">
        <f>'1.Ranking'!Q35*$Q$2</f>
        <v>1.5</v>
      </c>
      <c r="R37">
        <f t="shared" si="0"/>
        <v>2</v>
      </c>
      <c r="S37">
        <f t="shared" si="1"/>
        <v>4</v>
      </c>
      <c r="T37">
        <f t="shared" si="2"/>
        <v>1</v>
      </c>
      <c r="U37">
        <f t="shared" si="3"/>
        <v>1.25</v>
      </c>
      <c r="V37">
        <f t="shared" si="4"/>
        <v>2.5</v>
      </c>
      <c r="W37">
        <f t="shared" si="5"/>
        <v>2.5</v>
      </c>
    </row>
  </sheetData>
  <mergeCells count="1">
    <mergeCell ref="R1:W2"/>
  </mergeCell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36"/>
  <sheetViews>
    <sheetView tabSelected="1" topLeftCell="E16" zoomScale="83" zoomScaleNormal="83" workbookViewId="0">
      <selection activeCell="E3" sqref="E3:Q36"/>
    </sheetView>
  </sheetViews>
  <sheetFormatPr defaultColWidth="8.83984375" defaultRowHeight="14.4" x14ac:dyDescent="0.55000000000000004"/>
  <cols>
    <col min="1" max="1" width="15.41796875" customWidth="1"/>
    <col min="2" max="4" width="20.15625" customWidth="1"/>
    <col min="5" max="5" width="9" customWidth="1"/>
    <col min="6" max="6" width="13.15625" customWidth="1"/>
    <col min="7" max="7" width="12" customWidth="1"/>
    <col min="8" max="8" width="13.15625" customWidth="1"/>
    <col min="9" max="9" width="11.41796875" customWidth="1"/>
    <col min="10" max="11" width="13.15625" customWidth="1"/>
    <col min="12" max="12" width="11.68359375" customWidth="1"/>
    <col min="13" max="13" width="10.83984375" customWidth="1"/>
    <col min="14" max="14" width="11.68359375" customWidth="1"/>
    <col min="16" max="16" width="11.41796875" customWidth="1"/>
    <col min="17" max="17" width="12" customWidth="1"/>
  </cols>
  <sheetData>
    <row r="1" spans="1:18" x14ac:dyDescent="0.55000000000000004">
      <c r="A1" s="3"/>
      <c r="B1" s="3"/>
      <c r="C1" s="3"/>
      <c r="D1" s="3"/>
      <c r="E1" s="3"/>
      <c r="F1" s="172" t="s">
        <v>200</v>
      </c>
      <c r="G1" s="173"/>
      <c r="H1" s="173"/>
      <c r="I1" s="173"/>
      <c r="J1" s="173"/>
      <c r="K1" s="174"/>
      <c r="L1" s="169" t="s">
        <v>201</v>
      </c>
      <c r="M1" s="170"/>
      <c r="N1" s="170"/>
      <c r="O1" s="170"/>
      <c r="P1" s="170"/>
      <c r="Q1" s="171"/>
    </row>
    <row r="2" spans="1:18" ht="28.8" x14ac:dyDescent="0.55000000000000004">
      <c r="A2" s="3" t="s">
        <v>0</v>
      </c>
      <c r="B2" s="3" t="s">
        <v>1</v>
      </c>
      <c r="C2" s="3" t="s">
        <v>2</v>
      </c>
      <c r="D2" s="3" t="s">
        <v>1</v>
      </c>
      <c r="E2" s="3" t="s">
        <v>203</v>
      </c>
      <c r="F2" s="150" t="s">
        <v>131</v>
      </c>
      <c r="G2" s="151" t="s">
        <v>128</v>
      </c>
      <c r="H2" s="152" t="s">
        <v>132</v>
      </c>
      <c r="I2" s="153" t="s">
        <v>130</v>
      </c>
      <c r="J2" s="154" t="s">
        <v>129</v>
      </c>
      <c r="K2" s="159" t="s">
        <v>209</v>
      </c>
      <c r="L2" s="150" t="s">
        <v>131</v>
      </c>
      <c r="M2" s="151" t="s">
        <v>128</v>
      </c>
      <c r="N2" s="152" t="s">
        <v>132</v>
      </c>
      <c r="O2" s="153" t="s">
        <v>130</v>
      </c>
      <c r="P2" s="154" t="s">
        <v>129</v>
      </c>
      <c r="Q2" s="160" t="s">
        <v>209</v>
      </c>
    </row>
    <row r="3" spans="1:18" x14ac:dyDescent="0.55000000000000004">
      <c r="A3" t="s">
        <v>24</v>
      </c>
      <c r="B3" t="s">
        <v>25</v>
      </c>
      <c r="C3" t="s">
        <v>26</v>
      </c>
      <c r="E3">
        <v>1</v>
      </c>
      <c r="F3">
        <v>3.5</v>
      </c>
      <c r="G3">
        <v>2</v>
      </c>
      <c r="H3">
        <v>3</v>
      </c>
      <c r="I3">
        <v>1.25</v>
      </c>
      <c r="J3">
        <v>3.5</v>
      </c>
      <c r="K3">
        <v>2.5</v>
      </c>
      <c r="L3" s="44">
        <f>F3/SUM($F3:$K3)</f>
        <v>0.22222222222222221</v>
      </c>
      <c r="M3" s="44">
        <f t="shared" ref="M3:Q3" si="0">G3/SUM($F3:$K3)</f>
        <v>0.12698412698412698</v>
      </c>
      <c r="N3" s="44">
        <f t="shared" si="0"/>
        <v>0.19047619047619047</v>
      </c>
      <c r="O3" s="44">
        <f t="shared" si="0"/>
        <v>7.9365079365079361E-2</v>
      </c>
      <c r="P3" s="44">
        <f t="shared" si="0"/>
        <v>0.22222222222222221</v>
      </c>
      <c r="Q3" s="44">
        <f t="shared" si="0"/>
        <v>0.15873015873015872</v>
      </c>
      <c r="R3" s="161"/>
    </row>
    <row r="4" spans="1:18" x14ac:dyDescent="0.55000000000000004">
      <c r="A4" t="s">
        <v>32</v>
      </c>
      <c r="B4" t="s">
        <v>33</v>
      </c>
      <c r="C4" t="s">
        <v>34</v>
      </c>
      <c r="E4">
        <v>2</v>
      </c>
      <c r="F4">
        <v>3.5</v>
      </c>
      <c r="G4">
        <v>2</v>
      </c>
      <c r="H4">
        <v>3</v>
      </c>
      <c r="I4">
        <v>1.25</v>
      </c>
      <c r="J4">
        <v>3.5</v>
      </c>
      <c r="K4">
        <v>2.5</v>
      </c>
      <c r="L4" s="44">
        <f t="shared" ref="L4:L36" si="1">F4/SUM($F4:$K4)</f>
        <v>0.22222222222222221</v>
      </c>
      <c r="M4" s="44">
        <f t="shared" ref="M4:M36" si="2">G4/SUM($F4:$K4)</f>
        <v>0.12698412698412698</v>
      </c>
      <c r="N4" s="44">
        <f t="shared" ref="N4:N36" si="3">H4/SUM($F4:$K4)</f>
        <v>0.19047619047619047</v>
      </c>
      <c r="O4" s="44">
        <f t="shared" ref="O4:O36" si="4">I4/SUM($F4:$K4)</f>
        <v>7.9365079365079361E-2</v>
      </c>
      <c r="P4" s="44">
        <f t="shared" ref="P4:P36" si="5">J4/SUM($F4:$K4)</f>
        <v>0.22222222222222221</v>
      </c>
      <c r="Q4" s="44">
        <f t="shared" ref="Q4:Q36" si="6">K4/SUM($F4:$K4)</f>
        <v>0.15873015873015872</v>
      </c>
    </row>
    <row r="5" spans="1:18" x14ac:dyDescent="0.55000000000000004">
      <c r="A5" t="s">
        <v>35</v>
      </c>
      <c r="B5" t="s">
        <v>36</v>
      </c>
      <c r="C5" t="s">
        <v>37</v>
      </c>
      <c r="E5">
        <v>3</v>
      </c>
      <c r="F5">
        <v>3.5</v>
      </c>
      <c r="G5">
        <v>4</v>
      </c>
      <c r="H5">
        <v>3</v>
      </c>
      <c r="I5">
        <v>1.25</v>
      </c>
      <c r="J5">
        <v>3.5</v>
      </c>
      <c r="K5">
        <v>2.5</v>
      </c>
      <c r="L5" s="44">
        <f t="shared" si="1"/>
        <v>0.19718309859154928</v>
      </c>
      <c r="M5" s="44">
        <f t="shared" si="2"/>
        <v>0.22535211267605634</v>
      </c>
      <c r="N5" s="44">
        <f t="shared" si="3"/>
        <v>0.16901408450704225</v>
      </c>
      <c r="O5" s="44">
        <f t="shared" si="4"/>
        <v>7.0422535211267609E-2</v>
      </c>
      <c r="P5" s="44">
        <f t="shared" si="5"/>
        <v>0.19718309859154928</v>
      </c>
      <c r="Q5" s="44">
        <f t="shared" si="6"/>
        <v>0.14084507042253522</v>
      </c>
    </row>
    <row r="6" spans="1:18" x14ac:dyDescent="0.55000000000000004">
      <c r="A6" t="s">
        <v>32</v>
      </c>
      <c r="B6" t="s">
        <v>33</v>
      </c>
      <c r="C6" t="s">
        <v>40</v>
      </c>
      <c r="E6">
        <v>4</v>
      </c>
      <c r="F6">
        <v>3.5</v>
      </c>
      <c r="G6">
        <v>4</v>
      </c>
      <c r="H6">
        <v>1</v>
      </c>
      <c r="I6">
        <v>1.75</v>
      </c>
      <c r="J6">
        <v>2.5</v>
      </c>
      <c r="K6">
        <v>2.5</v>
      </c>
      <c r="L6" s="44">
        <f t="shared" si="1"/>
        <v>0.22950819672131148</v>
      </c>
      <c r="M6" s="44">
        <f t="shared" si="2"/>
        <v>0.26229508196721313</v>
      </c>
      <c r="N6" s="44">
        <f t="shared" si="3"/>
        <v>6.5573770491803282E-2</v>
      </c>
      <c r="O6" s="44">
        <f t="shared" si="4"/>
        <v>0.11475409836065574</v>
      </c>
      <c r="P6" s="44">
        <f t="shared" si="5"/>
        <v>0.16393442622950818</v>
      </c>
      <c r="Q6" s="44">
        <f t="shared" si="6"/>
        <v>0.16393442622950818</v>
      </c>
    </row>
    <row r="7" spans="1:18" x14ac:dyDescent="0.55000000000000004">
      <c r="A7" t="s">
        <v>32</v>
      </c>
      <c r="B7" t="s">
        <v>33</v>
      </c>
      <c r="C7" t="s">
        <v>43</v>
      </c>
      <c r="E7">
        <v>5</v>
      </c>
      <c r="F7">
        <v>3.5</v>
      </c>
      <c r="G7">
        <v>4</v>
      </c>
      <c r="H7">
        <v>3</v>
      </c>
      <c r="I7">
        <v>1.25</v>
      </c>
      <c r="J7">
        <v>3.5</v>
      </c>
      <c r="K7">
        <v>2.5</v>
      </c>
      <c r="L7" s="44">
        <f t="shared" si="1"/>
        <v>0.19718309859154928</v>
      </c>
      <c r="M7" s="44">
        <f t="shared" si="2"/>
        <v>0.22535211267605634</v>
      </c>
      <c r="N7" s="44">
        <f t="shared" si="3"/>
        <v>0.16901408450704225</v>
      </c>
      <c r="O7" s="44">
        <f t="shared" si="4"/>
        <v>7.0422535211267609E-2</v>
      </c>
      <c r="P7" s="44">
        <f t="shared" si="5"/>
        <v>0.19718309859154928</v>
      </c>
      <c r="Q7" s="44">
        <f t="shared" si="6"/>
        <v>0.14084507042253522</v>
      </c>
    </row>
    <row r="8" spans="1:18" x14ac:dyDescent="0.55000000000000004">
      <c r="A8" t="s">
        <v>32</v>
      </c>
      <c r="B8" t="s">
        <v>33</v>
      </c>
      <c r="C8" t="s">
        <v>45</v>
      </c>
      <c r="E8">
        <v>6</v>
      </c>
      <c r="F8">
        <v>3.5</v>
      </c>
      <c r="G8">
        <v>4</v>
      </c>
      <c r="H8">
        <v>3</v>
      </c>
      <c r="I8">
        <v>1.25</v>
      </c>
      <c r="J8">
        <v>2.5</v>
      </c>
      <c r="K8">
        <v>2.5</v>
      </c>
      <c r="L8" s="44">
        <f t="shared" si="1"/>
        <v>0.20895522388059701</v>
      </c>
      <c r="M8" s="44">
        <f t="shared" si="2"/>
        <v>0.23880597014925373</v>
      </c>
      <c r="N8" s="44">
        <f t="shared" si="3"/>
        <v>0.17910447761194029</v>
      </c>
      <c r="O8" s="44">
        <f t="shared" si="4"/>
        <v>7.4626865671641784E-2</v>
      </c>
      <c r="P8" s="44">
        <f t="shared" si="5"/>
        <v>0.14925373134328357</v>
      </c>
      <c r="Q8" s="44">
        <f t="shared" si="6"/>
        <v>0.14925373134328357</v>
      </c>
    </row>
    <row r="9" spans="1:18" x14ac:dyDescent="0.55000000000000004">
      <c r="A9" t="s">
        <v>32</v>
      </c>
      <c r="B9" t="s">
        <v>33</v>
      </c>
      <c r="C9" t="s">
        <v>47</v>
      </c>
      <c r="E9">
        <v>7</v>
      </c>
      <c r="F9">
        <v>3.5</v>
      </c>
      <c r="G9">
        <v>4</v>
      </c>
      <c r="H9">
        <v>1</v>
      </c>
      <c r="I9">
        <v>1.75</v>
      </c>
      <c r="J9">
        <v>3.5</v>
      </c>
      <c r="K9">
        <v>2.5</v>
      </c>
      <c r="L9" s="44">
        <f t="shared" si="1"/>
        <v>0.2153846153846154</v>
      </c>
      <c r="M9" s="44">
        <f t="shared" si="2"/>
        <v>0.24615384615384617</v>
      </c>
      <c r="N9" s="44">
        <f t="shared" si="3"/>
        <v>6.1538461538461542E-2</v>
      </c>
      <c r="O9" s="44">
        <f t="shared" si="4"/>
        <v>0.1076923076923077</v>
      </c>
      <c r="P9" s="44">
        <f t="shared" si="5"/>
        <v>0.2153846153846154</v>
      </c>
      <c r="Q9" s="44">
        <f t="shared" si="6"/>
        <v>0.15384615384615385</v>
      </c>
    </row>
    <row r="10" spans="1:18" x14ac:dyDescent="0.55000000000000004">
      <c r="A10" t="s">
        <v>32</v>
      </c>
      <c r="B10" t="s">
        <v>33</v>
      </c>
      <c r="C10" t="s">
        <v>49</v>
      </c>
      <c r="E10">
        <v>8</v>
      </c>
      <c r="F10">
        <v>2.5</v>
      </c>
      <c r="G10">
        <v>4</v>
      </c>
      <c r="H10">
        <v>3</v>
      </c>
      <c r="I10">
        <v>1.25</v>
      </c>
      <c r="J10">
        <v>2.5</v>
      </c>
      <c r="K10">
        <v>2.5</v>
      </c>
      <c r="L10" s="44">
        <f t="shared" si="1"/>
        <v>0.15873015873015872</v>
      </c>
      <c r="M10" s="44">
        <f t="shared" si="2"/>
        <v>0.25396825396825395</v>
      </c>
      <c r="N10" s="44">
        <f t="shared" si="3"/>
        <v>0.19047619047619047</v>
      </c>
      <c r="O10" s="44">
        <f t="shared" si="4"/>
        <v>7.9365079365079361E-2</v>
      </c>
      <c r="P10" s="44">
        <f t="shared" si="5"/>
        <v>0.15873015873015872</v>
      </c>
      <c r="Q10" s="44">
        <f t="shared" si="6"/>
        <v>0.15873015873015872</v>
      </c>
    </row>
    <row r="11" spans="1:18" x14ac:dyDescent="0.55000000000000004">
      <c r="A11" t="s">
        <v>32</v>
      </c>
      <c r="B11" t="s">
        <v>33</v>
      </c>
      <c r="C11" t="s">
        <v>51</v>
      </c>
      <c r="E11">
        <v>9</v>
      </c>
      <c r="F11">
        <v>3.5</v>
      </c>
      <c r="G11">
        <v>4</v>
      </c>
      <c r="H11">
        <v>3</v>
      </c>
      <c r="I11">
        <v>1.25</v>
      </c>
      <c r="J11">
        <v>3.5</v>
      </c>
      <c r="K11">
        <v>2.5</v>
      </c>
      <c r="L11" s="44">
        <f t="shared" si="1"/>
        <v>0.19718309859154928</v>
      </c>
      <c r="M11" s="44">
        <f t="shared" si="2"/>
        <v>0.22535211267605634</v>
      </c>
      <c r="N11" s="44">
        <f t="shared" si="3"/>
        <v>0.16901408450704225</v>
      </c>
      <c r="O11" s="44">
        <f t="shared" si="4"/>
        <v>7.0422535211267609E-2</v>
      </c>
      <c r="P11" s="44">
        <f t="shared" si="5"/>
        <v>0.19718309859154928</v>
      </c>
      <c r="Q11" s="44">
        <f t="shared" si="6"/>
        <v>0.14084507042253522</v>
      </c>
    </row>
    <row r="12" spans="1:18" x14ac:dyDescent="0.55000000000000004">
      <c r="A12" t="s">
        <v>32</v>
      </c>
      <c r="B12" t="s">
        <v>33</v>
      </c>
      <c r="C12" t="s">
        <v>53</v>
      </c>
      <c r="E12">
        <v>10</v>
      </c>
      <c r="F12">
        <v>3.5</v>
      </c>
      <c r="G12">
        <v>4</v>
      </c>
      <c r="H12">
        <v>3</v>
      </c>
      <c r="I12">
        <v>1.75</v>
      </c>
      <c r="J12">
        <v>3.5</v>
      </c>
      <c r="K12">
        <v>2.5</v>
      </c>
      <c r="L12" s="44">
        <f t="shared" si="1"/>
        <v>0.19178082191780821</v>
      </c>
      <c r="M12" s="44">
        <f t="shared" si="2"/>
        <v>0.21917808219178081</v>
      </c>
      <c r="N12" s="44">
        <f t="shared" si="3"/>
        <v>0.16438356164383561</v>
      </c>
      <c r="O12" s="44">
        <f t="shared" si="4"/>
        <v>9.5890410958904104E-2</v>
      </c>
      <c r="P12" s="44">
        <f t="shared" si="5"/>
        <v>0.19178082191780821</v>
      </c>
      <c r="Q12" s="44">
        <f t="shared" si="6"/>
        <v>0.13698630136986301</v>
      </c>
    </row>
    <row r="13" spans="1:18" x14ac:dyDescent="0.55000000000000004">
      <c r="A13" t="s">
        <v>32</v>
      </c>
      <c r="B13" t="s">
        <v>33</v>
      </c>
      <c r="C13" t="s">
        <v>54</v>
      </c>
      <c r="E13">
        <v>11</v>
      </c>
      <c r="F13">
        <v>3.5</v>
      </c>
      <c r="G13">
        <v>4</v>
      </c>
      <c r="H13">
        <v>1</v>
      </c>
      <c r="I13">
        <v>1.75</v>
      </c>
      <c r="J13">
        <v>2.5</v>
      </c>
      <c r="K13">
        <v>2.5</v>
      </c>
      <c r="L13" s="44">
        <f t="shared" si="1"/>
        <v>0.22950819672131148</v>
      </c>
      <c r="M13" s="44">
        <f t="shared" si="2"/>
        <v>0.26229508196721313</v>
      </c>
      <c r="N13" s="44">
        <f t="shared" si="3"/>
        <v>6.5573770491803282E-2</v>
      </c>
      <c r="O13" s="44">
        <f t="shared" si="4"/>
        <v>0.11475409836065574</v>
      </c>
      <c r="P13" s="44">
        <f t="shared" si="5"/>
        <v>0.16393442622950818</v>
      </c>
      <c r="Q13" s="44">
        <f t="shared" si="6"/>
        <v>0.16393442622950818</v>
      </c>
    </row>
    <row r="14" spans="1:18" x14ac:dyDescent="0.55000000000000004">
      <c r="A14" t="s">
        <v>32</v>
      </c>
      <c r="B14" t="s">
        <v>33</v>
      </c>
      <c r="C14" t="s">
        <v>56</v>
      </c>
      <c r="E14">
        <v>12</v>
      </c>
      <c r="F14">
        <v>3.5</v>
      </c>
      <c r="G14">
        <v>4</v>
      </c>
      <c r="H14">
        <v>1</v>
      </c>
      <c r="I14">
        <v>1.75</v>
      </c>
      <c r="J14">
        <v>3.5</v>
      </c>
      <c r="K14">
        <v>2.5</v>
      </c>
      <c r="L14" s="44">
        <f t="shared" si="1"/>
        <v>0.2153846153846154</v>
      </c>
      <c r="M14" s="44">
        <f t="shared" si="2"/>
        <v>0.24615384615384617</v>
      </c>
      <c r="N14" s="44">
        <f t="shared" si="3"/>
        <v>6.1538461538461542E-2</v>
      </c>
      <c r="O14" s="44">
        <f t="shared" si="4"/>
        <v>0.1076923076923077</v>
      </c>
      <c r="P14" s="44">
        <f t="shared" si="5"/>
        <v>0.2153846153846154</v>
      </c>
      <c r="Q14" s="44">
        <f t="shared" si="6"/>
        <v>0.15384615384615385</v>
      </c>
    </row>
    <row r="15" spans="1:18" x14ac:dyDescent="0.55000000000000004">
      <c r="A15" t="s">
        <v>32</v>
      </c>
      <c r="B15" t="s">
        <v>33</v>
      </c>
      <c r="C15" t="s">
        <v>58</v>
      </c>
      <c r="E15">
        <v>13</v>
      </c>
      <c r="F15">
        <v>3.5</v>
      </c>
      <c r="G15">
        <v>2</v>
      </c>
      <c r="H15">
        <v>3</v>
      </c>
      <c r="I15">
        <v>1.25</v>
      </c>
      <c r="J15">
        <v>2.5</v>
      </c>
      <c r="K15">
        <v>2.5</v>
      </c>
      <c r="L15" s="44">
        <f t="shared" si="1"/>
        <v>0.23728813559322035</v>
      </c>
      <c r="M15" s="44">
        <f t="shared" si="2"/>
        <v>0.13559322033898305</v>
      </c>
      <c r="N15" s="44">
        <f t="shared" si="3"/>
        <v>0.20338983050847459</v>
      </c>
      <c r="O15" s="44">
        <f t="shared" si="4"/>
        <v>8.4745762711864403E-2</v>
      </c>
      <c r="P15" s="44">
        <f t="shared" si="5"/>
        <v>0.16949152542372881</v>
      </c>
      <c r="Q15" s="44">
        <f t="shared" si="6"/>
        <v>0.16949152542372881</v>
      </c>
    </row>
    <row r="16" spans="1:18" x14ac:dyDescent="0.55000000000000004">
      <c r="A16" t="s">
        <v>32</v>
      </c>
      <c r="B16" t="s">
        <v>33</v>
      </c>
      <c r="C16" t="s">
        <v>61</v>
      </c>
      <c r="E16">
        <v>14</v>
      </c>
      <c r="F16">
        <v>3.5</v>
      </c>
      <c r="G16">
        <v>2</v>
      </c>
      <c r="H16">
        <v>3</v>
      </c>
      <c r="I16">
        <v>1.25</v>
      </c>
      <c r="J16">
        <v>2.5</v>
      </c>
      <c r="K16">
        <v>2.5</v>
      </c>
      <c r="L16" s="44">
        <f t="shared" si="1"/>
        <v>0.23728813559322035</v>
      </c>
      <c r="M16" s="44">
        <f t="shared" si="2"/>
        <v>0.13559322033898305</v>
      </c>
      <c r="N16" s="44">
        <f t="shared" si="3"/>
        <v>0.20338983050847459</v>
      </c>
      <c r="O16" s="44">
        <f t="shared" si="4"/>
        <v>8.4745762711864403E-2</v>
      </c>
      <c r="P16" s="44">
        <f t="shared" si="5"/>
        <v>0.16949152542372881</v>
      </c>
      <c r="Q16" s="44">
        <f t="shared" si="6"/>
        <v>0.16949152542372881</v>
      </c>
    </row>
    <row r="17" spans="1:17" x14ac:dyDescent="0.55000000000000004">
      <c r="A17" t="s">
        <v>32</v>
      </c>
      <c r="B17" t="s">
        <v>33</v>
      </c>
      <c r="C17" t="s">
        <v>62</v>
      </c>
      <c r="E17">
        <v>15</v>
      </c>
      <c r="F17">
        <v>3.5</v>
      </c>
      <c r="G17">
        <v>2</v>
      </c>
      <c r="H17">
        <v>3</v>
      </c>
      <c r="I17">
        <v>1.75</v>
      </c>
      <c r="J17">
        <v>3.5</v>
      </c>
      <c r="K17">
        <v>2.5</v>
      </c>
      <c r="L17" s="44">
        <f t="shared" si="1"/>
        <v>0.2153846153846154</v>
      </c>
      <c r="M17" s="44">
        <f t="shared" si="2"/>
        <v>0.12307692307692308</v>
      </c>
      <c r="N17" s="44">
        <f t="shared" si="3"/>
        <v>0.18461538461538463</v>
      </c>
      <c r="O17" s="44">
        <f t="shared" si="4"/>
        <v>0.1076923076923077</v>
      </c>
      <c r="P17" s="44">
        <f t="shared" si="5"/>
        <v>0.2153846153846154</v>
      </c>
      <c r="Q17" s="44">
        <f t="shared" si="6"/>
        <v>0.15384615384615385</v>
      </c>
    </row>
    <row r="18" spans="1:17" x14ac:dyDescent="0.55000000000000004">
      <c r="A18" t="s">
        <v>32</v>
      </c>
      <c r="B18" t="s">
        <v>64</v>
      </c>
      <c r="C18" t="s">
        <v>65</v>
      </c>
      <c r="E18">
        <v>16</v>
      </c>
      <c r="F18">
        <v>3.5</v>
      </c>
      <c r="G18">
        <v>4</v>
      </c>
      <c r="H18">
        <v>1</v>
      </c>
      <c r="I18">
        <v>1.25</v>
      </c>
      <c r="J18">
        <v>2.5</v>
      </c>
      <c r="K18">
        <v>2.5</v>
      </c>
      <c r="L18" s="44">
        <f t="shared" si="1"/>
        <v>0.23728813559322035</v>
      </c>
      <c r="M18" s="44">
        <f t="shared" si="2"/>
        <v>0.2711864406779661</v>
      </c>
      <c r="N18" s="44">
        <f t="shared" si="3"/>
        <v>6.7796610169491525E-2</v>
      </c>
      <c r="O18" s="44">
        <f t="shared" si="4"/>
        <v>8.4745762711864403E-2</v>
      </c>
      <c r="P18" s="44">
        <f t="shared" si="5"/>
        <v>0.16949152542372881</v>
      </c>
      <c r="Q18" s="44">
        <f t="shared" si="6"/>
        <v>0.16949152542372881</v>
      </c>
    </row>
    <row r="19" spans="1:17" x14ac:dyDescent="0.55000000000000004">
      <c r="A19" t="s">
        <v>32</v>
      </c>
      <c r="B19" t="s">
        <v>33</v>
      </c>
      <c r="C19" t="s">
        <v>67</v>
      </c>
      <c r="E19">
        <v>17</v>
      </c>
      <c r="F19">
        <v>2.5</v>
      </c>
      <c r="G19">
        <v>4</v>
      </c>
      <c r="H19">
        <v>3</v>
      </c>
      <c r="I19">
        <v>1.25</v>
      </c>
      <c r="J19">
        <v>3.5</v>
      </c>
      <c r="K19">
        <v>2.5</v>
      </c>
      <c r="L19" s="44">
        <f t="shared" si="1"/>
        <v>0.14925373134328357</v>
      </c>
      <c r="M19" s="44">
        <f t="shared" si="2"/>
        <v>0.23880597014925373</v>
      </c>
      <c r="N19" s="44">
        <f t="shared" si="3"/>
        <v>0.17910447761194029</v>
      </c>
      <c r="O19" s="44">
        <f t="shared" si="4"/>
        <v>7.4626865671641784E-2</v>
      </c>
      <c r="P19" s="44">
        <f t="shared" si="5"/>
        <v>0.20895522388059701</v>
      </c>
      <c r="Q19" s="44">
        <f t="shared" si="6"/>
        <v>0.14925373134328357</v>
      </c>
    </row>
    <row r="20" spans="1:17" x14ac:dyDescent="0.55000000000000004">
      <c r="A20" t="s">
        <v>69</v>
      </c>
      <c r="B20" t="s">
        <v>70</v>
      </c>
      <c r="C20" t="s">
        <v>71</v>
      </c>
      <c r="E20">
        <v>18</v>
      </c>
      <c r="F20">
        <v>3.5</v>
      </c>
      <c r="G20">
        <v>4</v>
      </c>
      <c r="H20">
        <v>3</v>
      </c>
      <c r="I20">
        <v>1.25</v>
      </c>
      <c r="J20">
        <v>2.5</v>
      </c>
      <c r="K20">
        <v>2.5</v>
      </c>
      <c r="L20" s="44">
        <f t="shared" si="1"/>
        <v>0.20895522388059701</v>
      </c>
      <c r="M20" s="44">
        <f t="shared" si="2"/>
        <v>0.23880597014925373</v>
      </c>
      <c r="N20" s="44">
        <f t="shared" si="3"/>
        <v>0.17910447761194029</v>
      </c>
      <c r="O20" s="44">
        <f t="shared" si="4"/>
        <v>7.4626865671641784E-2</v>
      </c>
      <c r="P20" s="44">
        <f t="shared" si="5"/>
        <v>0.14925373134328357</v>
      </c>
      <c r="Q20" s="44">
        <f t="shared" si="6"/>
        <v>0.14925373134328357</v>
      </c>
    </row>
    <row r="21" spans="1:17" x14ac:dyDescent="0.55000000000000004">
      <c r="A21" t="s">
        <v>32</v>
      </c>
      <c r="B21" t="s">
        <v>33</v>
      </c>
      <c r="C21" t="s">
        <v>73</v>
      </c>
      <c r="E21">
        <v>19</v>
      </c>
      <c r="F21">
        <v>3.5</v>
      </c>
      <c r="G21">
        <v>4</v>
      </c>
      <c r="H21">
        <v>3</v>
      </c>
      <c r="I21">
        <v>1.25</v>
      </c>
      <c r="J21">
        <v>3.5</v>
      </c>
      <c r="K21">
        <v>2.5</v>
      </c>
      <c r="L21" s="44">
        <f t="shared" si="1"/>
        <v>0.19718309859154928</v>
      </c>
      <c r="M21" s="44">
        <f t="shared" si="2"/>
        <v>0.22535211267605634</v>
      </c>
      <c r="N21" s="44">
        <f t="shared" si="3"/>
        <v>0.16901408450704225</v>
      </c>
      <c r="O21" s="44">
        <f t="shared" si="4"/>
        <v>7.0422535211267609E-2</v>
      </c>
      <c r="P21" s="44">
        <f t="shared" si="5"/>
        <v>0.19718309859154928</v>
      </c>
      <c r="Q21" s="44">
        <f t="shared" si="6"/>
        <v>0.14084507042253522</v>
      </c>
    </row>
    <row r="22" spans="1:17" x14ac:dyDescent="0.55000000000000004">
      <c r="A22" t="s">
        <v>32</v>
      </c>
      <c r="B22" t="s">
        <v>33</v>
      </c>
      <c r="C22" t="s">
        <v>74</v>
      </c>
      <c r="E22">
        <v>20</v>
      </c>
      <c r="F22">
        <v>3.5</v>
      </c>
      <c r="G22">
        <v>4</v>
      </c>
      <c r="H22">
        <v>3</v>
      </c>
      <c r="I22">
        <v>1.25</v>
      </c>
      <c r="J22">
        <v>2.5</v>
      </c>
      <c r="K22">
        <v>2.5</v>
      </c>
      <c r="L22" s="44">
        <f t="shared" si="1"/>
        <v>0.20895522388059701</v>
      </c>
      <c r="M22" s="44">
        <f t="shared" si="2"/>
        <v>0.23880597014925373</v>
      </c>
      <c r="N22" s="44">
        <f t="shared" si="3"/>
        <v>0.17910447761194029</v>
      </c>
      <c r="O22" s="44">
        <f t="shared" si="4"/>
        <v>7.4626865671641784E-2</v>
      </c>
      <c r="P22" s="44">
        <f t="shared" si="5"/>
        <v>0.14925373134328357</v>
      </c>
      <c r="Q22" s="44">
        <f t="shared" si="6"/>
        <v>0.14925373134328357</v>
      </c>
    </row>
    <row r="23" spans="1:17" x14ac:dyDescent="0.55000000000000004">
      <c r="A23" t="s">
        <v>75</v>
      </c>
      <c r="B23" t="s">
        <v>64</v>
      </c>
      <c r="C23" t="s">
        <v>76</v>
      </c>
      <c r="E23">
        <v>21</v>
      </c>
      <c r="F23">
        <v>3.5</v>
      </c>
      <c r="G23">
        <v>4</v>
      </c>
      <c r="H23">
        <v>3</v>
      </c>
      <c r="I23">
        <v>1.25</v>
      </c>
      <c r="J23">
        <v>2.5</v>
      </c>
      <c r="K23">
        <v>2.5</v>
      </c>
      <c r="L23" s="44">
        <f t="shared" si="1"/>
        <v>0.20895522388059701</v>
      </c>
      <c r="M23" s="44">
        <f t="shared" si="2"/>
        <v>0.23880597014925373</v>
      </c>
      <c r="N23" s="44">
        <f t="shared" si="3"/>
        <v>0.17910447761194029</v>
      </c>
      <c r="O23" s="44">
        <f t="shared" si="4"/>
        <v>7.4626865671641784E-2</v>
      </c>
      <c r="P23" s="44">
        <f t="shared" si="5"/>
        <v>0.14925373134328357</v>
      </c>
      <c r="Q23" s="44">
        <f t="shared" si="6"/>
        <v>0.14925373134328357</v>
      </c>
    </row>
    <row r="24" spans="1:17" x14ac:dyDescent="0.55000000000000004">
      <c r="A24" t="s">
        <v>32</v>
      </c>
      <c r="B24" t="s">
        <v>33</v>
      </c>
      <c r="C24" t="s">
        <v>79</v>
      </c>
      <c r="E24">
        <v>22</v>
      </c>
      <c r="F24">
        <v>3.5</v>
      </c>
      <c r="G24">
        <v>4</v>
      </c>
      <c r="H24">
        <v>3</v>
      </c>
      <c r="I24">
        <v>1.25</v>
      </c>
      <c r="J24">
        <v>2.5</v>
      </c>
      <c r="K24">
        <v>2.5</v>
      </c>
      <c r="L24" s="44">
        <f t="shared" si="1"/>
        <v>0.20895522388059701</v>
      </c>
      <c r="M24" s="44">
        <f t="shared" si="2"/>
        <v>0.23880597014925373</v>
      </c>
      <c r="N24" s="44">
        <f t="shared" si="3"/>
        <v>0.17910447761194029</v>
      </c>
      <c r="O24" s="44">
        <f t="shared" si="4"/>
        <v>7.4626865671641784E-2</v>
      </c>
      <c r="P24" s="44">
        <f t="shared" si="5"/>
        <v>0.14925373134328357</v>
      </c>
      <c r="Q24" s="44">
        <f t="shared" si="6"/>
        <v>0.14925373134328357</v>
      </c>
    </row>
    <row r="25" spans="1:17" x14ac:dyDescent="0.55000000000000004">
      <c r="A25" t="s">
        <v>32</v>
      </c>
      <c r="B25" t="s">
        <v>33</v>
      </c>
      <c r="C25" t="s">
        <v>81</v>
      </c>
      <c r="E25">
        <v>23</v>
      </c>
      <c r="F25">
        <v>3.5</v>
      </c>
      <c r="G25">
        <v>4</v>
      </c>
      <c r="H25">
        <v>1</v>
      </c>
      <c r="I25">
        <v>1.75</v>
      </c>
      <c r="J25">
        <v>2.5</v>
      </c>
      <c r="K25">
        <v>2.5</v>
      </c>
      <c r="L25" s="44">
        <f t="shared" si="1"/>
        <v>0.22950819672131148</v>
      </c>
      <c r="M25" s="44">
        <f t="shared" si="2"/>
        <v>0.26229508196721313</v>
      </c>
      <c r="N25" s="44">
        <f t="shared" si="3"/>
        <v>6.5573770491803282E-2</v>
      </c>
      <c r="O25" s="44">
        <f t="shared" si="4"/>
        <v>0.11475409836065574</v>
      </c>
      <c r="P25" s="44">
        <f t="shared" si="5"/>
        <v>0.16393442622950818</v>
      </c>
      <c r="Q25" s="44">
        <f t="shared" si="6"/>
        <v>0.16393442622950818</v>
      </c>
    </row>
    <row r="26" spans="1:17" x14ac:dyDescent="0.55000000000000004">
      <c r="A26" t="s">
        <v>24</v>
      </c>
      <c r="B26" t="s">
        <v>83</v>
      </c>
      <c r="C26" t="s">
        <v>84</v>
      </c>
      <c r="E26">
        <v>24</v>
      </c>
      <c r="F26">
        <v>3.5</v>
      </c>
      <c r="G26">
        <v>4</v>
      </c>
      <c r="H26">
        <v>1</v>
      </c>
      <c r="I26">
        <v>1.25</v>
      </c>
      <c r="J26">
        <v>3.5</v>
      </c>
      <c r="K26">
        <v>2.5</v>
      </c>
      <c r="L26" s="44">
        <f t="shared" si="1"/>
        <v>0.22222222222222221</v>
      </c>
      <c r="M26" s="44">
        <f t="shared" si="2"/>
        <v>0.25396825396825395</v>
      </c>
      <c r="N26" s="44">
        <f t="shared" si="3"/>
        <v>6.3492063492063489E-2</v>
      </c>
      <c r="O26" s="44">
        <f t="shared" si="4"/>
        <v>7.9365079365079361E-2</v>
      </c>
      <c r="P26" s="44">
        <f t="shared" si="5"/>
        <v>0.22222222222222221</v>
      </c>
      <c r="Q26" s="44">
        <f t="shared" si="6"/>
        <v>0.15873015873015872</v>
      </c>
    </row>
    <row r="27" spans="1:17" x14ac:dyDescent="0.55000000000000004">
      <c r="A27" t="s">
        <v>32</v>
      </c>
      <c r="B27" t="s">
        <v>33</v>
      </c>
      <c r="C27" t="s">
        <v>87</v>
      </c>
      <c r="E27">
        <v>25</v>
      </c>
      <c r="F27">
        <v>3.5</v>
      </c>
      <c r="G27">
        <v>4</v>
      </c>
      <c r="H27">
        <v>1</v>
      </c>
      <c r="I27">
        <v>1.25</v>
      </c>
      <c r="J27">
        <v>3.5</v>
      </c>
      <c r="K27">
        <v>2.5</v>
      </c>
      <c r="L27" s="44">
        <f t="shared" si="1"/>
        <v>0.22222222222222221</v>
      </c>
      <c r="M27" s="44">
        <f t="shared" si="2"/>
        <v>0.25396825396825395</v>
      </c>
      <c r="N27" s="44">
        <f t="shared" si="3"/>
        <v>6.3492063492063489E-2</v>
      </c>
      <c r="O27" s="44">
        <f t="shared" si="4"/>
        <v>7.9365079365079361E-2</v>
      </c>
      <c r="P27" s="44">
        <f t="shared" si="5"/>
        <v>0.22222222222222221</v>
      </c>
      <c r="Q27" s="44">
        <f>K27/SUM($F27:$K27)</f>
        <v>0.15873015873015872</v>
      </c>
    </row>
    <row r="28" spans="1:17" x14ac:dyDescent="0.55000000000000004">
      <c r="A28" t="s">
        <v>88</v>
      </c>
      <c r="B28" t="s">
        <v>25</v>
      </c>
      <c r="C28" t="s">
        <v>89</v>
      </c>
      <c r="E28">
        <v>26</v>
      </c>
      <c r="F28">
        <v>3.5</v>
      </c>
      <c r="G28">
        <v>4</v>
      </c>
      <c r="H28">
        <v>1</v>
      </c>
      <c r="I28">
        <v>1.25</v>
      </c>
      <c r="J28">
        <v>3.5</v>
      </c>
      <c r="K28">
        <v>2.5</v>
      </c>
      <c r="L28" s="44">
        <f t="shared" si="1"/>
        <v>0.22222222222222221</v>
      </c>
      <c r="M28" s="44">
        <f t="shared" si="2"/>
        <v>0.25396825396825395</v>
      </c>
      <c r="N28" s="44">
        <f t="shared" si="3"/>
        <v>6.3492063492063489E-2</v>
      </c>
      <c r="O28" s="44">
        <f t="shared" si="4"/>
        <v>7.9365079365079361E-2</v>
      </c>
      <c r="P28" s="44">
        <f t="shared" si="5"/>
        <v>0.22222222222222221</v>
      </c>
      <c r="Q28" s="44">
        <f t="shared" si="6"/>
        <v>0.15873015873015872</v>
      </c>
    </row>
    <row r="29" spans="1:17" x14ac:dyDescent="0.55000000000000004">
      <c r="A29" t="s">
        <v>32</v>
      </c>
      <c r="B29" t="s">
        <v>33</v>
      </c>
      <c r="C29" t="s">
        <v>90</v>
      </c>
      <c r="E29">
        <v>27</v>
      </c>
      <c r="F29">
        <v>3.5</v>
      </c>
      <c r="G29">
        <v>2</v>
      </c>
      <c r="H29">
        <v>3</v>
      </c>
      <c r="I29">
        <v>1.75</v>
      </c>
      <c r="J29">
        <v>3.5</v>
      </c>
      <c r="K29">
        <v>2.5</v>
      </c>
      <c r="L29" s="44">
        <f t="shared" si="1"/>
        <v>0.2153846153846154</v>
      </c>
      <c r="M29" s="44">
        <f t="shared" si="2"/>
        <v>0.12307692307692308</v>
      </c>
      <c r="N29" s="44">
        <f t="shared" si="3"/>
        <v>0.18461538461538463</v>
      </c>
      <c r="O29" s="44">
        <f t="shared" si="4"/>
        <v>0.1076923076923077</v>
      </c>
      <c r="P29" s="44">
        <f t="shared" si="5"/>
        <v>0.2153846153846154</v>
      </c>
      <c r="Q29" s="44">
        <f t="shared" si="6"/>
        <v>0.15384615384615385</v>
      </c>
    </row>
    <row r="30" spans="1:17" x14ac:dyDescent="0.55000000000000004">
      <c r="A30" t="s">
        <v>92</v>
      </c>
      <c r="B30" t="s">
        <v>93</v>
      </c>
      <c r="C30" t="s">
        <v>94</v>
      </c>
      <c r="E30">
        <v>28</v>
      </c>
      <c r="F30">
        <v>3.5</v>
      </c>
      <c r="G30">
        <v>2</v>
      </c>
      <c r="H30">
        <v>3</v>
      </c>
      <c r="I30">
        <v>1.25</v>
      </c>
      <c r="J30">
        <v>2.5</v>
      </c>
      <c r="K30">
        <v>2.5</v>
      </c>
      <c r="L30" s="44">
        <f t="shared" si="1"/>
        <v>0.23728813559322035</v>
      </c>
      <c r="M30" s="44">
        <f t="shared" si="2"/>
        <v>0.13559322033898305</v>
      </c>
      <c r="N30" s="44">
        <f t="shared" si="3"/>
        <v>0.20338983050847459</v>
      </c>
      <c r="O30" s="44">
        <f t="shared" si="4"/>
        <v>8.4745762711864403E-2</v>
      </c>
      <c r="P30" s="44">
        <f t="shared" si="5"/>
        <v>0.16949152542372881</v>
      </c>
      <c r="Q30" s="44">
        <f t="shared" si="6"/>
        <v>0.16949152542372881</v>
      </c>
    </row>
    <row r="31" spans="1:17" x14ac:dyDescent="0.55000000000000004">
      <c r="A31" t="s">
        <v>75</v>
      </c>
      <c r="B31" t="s">
        <v>64</v>
      </c>
      <c r="C31" t="s">
        <v>98</v>
      </c>
      <c r="E31">
        <v>29</v>
      </c>
      <c r="F31">
        <v>3.5</v>
      </c>
      <c r="G31">
        <v>2</v>
      </c>
      <c r="H31">
        <v>3</v>
      </c>
      <c r="I31">
        <v>1.25</v>
      </c>
      <c r="J31">
        <v>2.5</v>
      </c>
      <c r="K31">
        <v>2.5</v>
      </c>
      <c r="L31" s="44">
        <f t="shared" si="1"/>
        <v>0.23728813559322035</v>
      </c>
      <c r="M31" s="44">
        <f t="shared" si="2"/>
        <v>0.13559322033898305</v>
      </c>
      <c r="N31" s="44">
        <f t="shared" si="3"/>
        <v>0.20338983050847459</v>
      </c>
      <c r="O31" s="44">
        <f t="shared" si="4"/>
        <v>8.4745762711864403E-2</v>
      </c>
      <c r="P31" s="44">
        <f t="shared" si="5"/>
        <v>0.16949152542372881</v>
      </c>
      <c r="Q31" s="44">
        <f t="shared" si="6"/>
        <v>0.16949152542372881</v>
      </c>
    </row>
    <row r="32" spans="1:17" x14ac:dyDescent="0.55000000000000004">
      <c r="A32" t="s">
        <v>32</v>
      </c>
      <c r="B32" t="s">
        <v>64</v>
      </c>
      <c r="C32" t="s">
        <v>100</v>
      </c>
      <c r="E32">
        <v>30</v>
      </c>
      <c r="F32">
        <v>3.5</v>
      </c>
      <c r="G32">
        <v>4</v>
      </c>
      <c r="H32">
        <v>1</v>
      </c>
      <c r="I32">
        <v>1.75</v>
      </c>
      <c r="J32">
        <v>2.5</v>
      </c>
      <c r="K32">
        <v>2.5</v>
      </c>
      <c r="L32" s="44">
        <f t="shared" si="1"/>
        <v>0.22950819672131148</v>
      </c>
      <c r="M32" s="44">
        <f t="shared" si="2"/>
        <v>0.26229508196721313</v>
      </c>
      <c r="N32" s="44">
        <f t="shared" si="3"/>
        <v>6.5573770491803282E-2</v>
      </c>
      <c r="O32" s="44">
        <f t="shared" si="4"/>
        <v>0.11475409836065574</v>
      </c>
      <c r="P32" s="44">
        <f t="shared" si="5"/>
        <v>0.16393442622950818</v>
      </c>
      <c r="Q32" s="44">
        <f t="shared" si="6"/>
        <v>0.16393442622950818</v>
      </c>
    </row>
    <row r="33" spans="1:17" x14ac:dyDescent="0.55000000000000004">
      <c r="A33" t="s">
        <v>32</v>
      </c>
      <c r="B33" t="s">
        <v>64</v>
      </c>
      <c r="C33" t="s">
        <v>102</v>
      </c>
      <c r="E33">
        <v>31</v>
      </c>
      <c r="F33">
        <v>3.5</v>
      </c>
      <c r="G33">
        <v>4</v>
      </c>
      <c r="H33">
        <v>1</v>
      </c>
      <c r="I33">
        <v>1.75</v>
      </c>
      <c r="J33">
        <v>2.5</v>
      </c>
      <c r="K33">
        <v>2.5</v>
      </c>
      <c r="L33" s="44">
        <f t="shared" si="1"/>
        <v>0.22950819672131148</v>
      </c>
      <c r="M33" s="44">
        <f t="shared" si="2"/>
        <v>0.26229508196721313</v>
      </c>
      <c r="N33" s="44">
        <f t="shared" si="3"/>
        <v>6.5573770491803282E-2</v>
      </c>
      <c r="O33" s="44">
        <f t="shared" si="4"/>
        <v>0.11475409836065574</v>
      </c>
      <c r="P33" s="44">
        <f t="shared" si="5"/>
        <v>0.16393442622950818</v>
      </c>
      <c r="Q33" s="44">
        <f t="shared" si="6"/>
        <v>0.16393442622950818</v>
      </c>
    </row>
    <row r="34" spans="1:17" x14ac:dyDescent="0.55000000000000004">
      <c r="A34" t="s">
        <v>35</v>
      </c>
      <c r="B34" t="s">
        <v>36</v>
      </c>
      <c r="C34" t="s">
        <v>103</v>
      </c>
      <c r="E34">
        <v>32</v>
      </c>
      <c r="F34">
        <v>3.5</v>
      </c>
      <c r="G34">
        <v>2</v>
      </c>
      <c r="H34">
        <v>3</v>
      </c>
      <c r="I34">
        <v>1.25</v>
      </c>
      <c r="J34">
        <v>2.5</v>
      </c>
      <c r="K34">
        <v>2.5</v>
      </c>
      <c r="L34" s="44">
        <f t="shared" si="1"/>
        <v>0.23728813559322035</v>
      </c>
      <c r="M34" s="44">
        <f t="shared" si="2"/>
        <v>0.13559322033898305</v>
      </c>
      <c r="N34" s="44">
        <f t="shared" si="3"/>
        <v>0.20338983050847459</v>
      </c>
      <c r="O34" s="44">
        <f t="shared" si="4"/>
        <v>8.4745762711864403E-2</v>
      </c>
      <c r="P34" s="44">
        <f t="shared" si="5"/>
        <v>0.16949152542372881</v>
      </c>
      <c r="Q34" s="44">
        <f t="shared" si="6"/>
        <v>0.16949152542372881</v>
      </c>
    </row>
    <row r="35" spans="1:17" x14ac:dyDescent="0.55000000000000004">
      <c r="A35" t="s">
        <v>35</v>
      </c>
      <c r="B35" t="s">
        <v>36</v>
      </c>
      <c r="C35" t="s">
        <v>105</v>
      </c>
      <c r="E35">
        <v>33</v>
      </c>
      <c r="F35">
        <v>2</v>
      </c>
      <c r="G35">
        <v>2</v>
      </c>
      <c r="H35">
        <v>3</v>
      </c>
      <c r="I35">
        <v>1.25</v>
      </c>
      <c r="J35">
        <v>2.5</v>
      </c>
      <c r="K35">
        <v>2.5</v>
      </c>
      <c r="L35" s="44">
        <f t="shared" si="1"/>
        <v>0.15094339622641509</v>
      </c>
      <c r="M35" s="44">
        <f t="shared" si="2"/>
        <v>0.15094339622641509</v>
      </c>
      <c r="N35" s="44">
        <f t="shared" si="3"/>
        <v>0.22641509433962265</v>
      </c>
      <c r="O35" s="44">
        <f t="shared" si="4"/>
        <v>9.4339622641509441E-2</v>
      </c>
      <c r="P35" s="44">
        <f t="shared" si="5"/>
        <v>0.18867924528301888</v>
      </c>
      <c r="Q35" s="44">
        <f t="shared" si="6"/>
        <v>0.18867924528301888</v>
      </c>
    </row>
    <row r="36" spans="1:17" x14ac:dyDescent="0.55000000000000004">
      <c r="A36" t="s">
        <v>35</v>
      </c>
      <c r="B36" t="s">
        <v>106</v>
      </c>
      <c r="C36" t="s">
        <v>107</v>
      </c>
      <c r="E36">
        <v>34</v>
      </c>
      <c r="F36">
        <v>2</v>
      </c>
      <c r="G36">
        <v>4</v>
      </c>
      <c r="H36">
        <v>1</v>
      </c>
      <c r="I36">
        <v>1.25</v>
      </c>
      <c r="J36">
        <v>2.5</v>
      </c>
      <c r="K36">
        <v>2.5</v>
      </c>
      <c r="L36" s="44">
        <f t="shared" si="1"/>
        <v>0.15094339622641509</v>
      </c>
      <c r="M36" s="44">
        <f t="shared" si="2"/>
        <v>0.30188679245283018</v>
      </c>
      <c r="N36" s="44">
        <f t="shared" si="3"/>
        <v>7.5471698113207544E-2</v>
      </c>
      <c r="O36" s="44">
        <f t="shared" si="4"/>
        <v>9.4339622641509441E-2</v>
      </c>
      <c r="P36" s="44">
        <f t="shared" si="5"/>
        <v>0.18867924528301888</v>
      </c>
      <c r="Q36" s="44">
        <f t="shared" si="6"/>
        <v>0.18867924528301888</v>
      </c>
    </row>
  </sheetData>
  <mergeCells count="2">
    <mergeCell ref="L1:Q1"/>
    <mergeCell ref="F1:K1"/>
  </mergeCells>
  <pageMargins left="0.7" right="0.7" top="0.75" bottom="0.75" header="0.3" footer="0.3"/>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6"/>
  <sheetViews>
    <sheetView workbookViewId="0">
      <selection activeCell="G23" sqref="G23"/>
    </sheetView>
  </sheetViews>
  <sheetFormatPr defaultColWidth="8.83984375" defaultRowHeight="14.4" x14ac:dyDescent="0.55000000000000004"/>
  <sheetData>
    <row r="1" spans="1:13" x14ac:dyDescent="0.55000000000000004">
      <c r="A1" t="s">
        <v>108</v>
      </c>
      <c r="B1" t="s">
        <v>109</v>
      </c>
      <c r="C1" t="s">
        <v>110</v>
      </c>
      <c r="D1" t="s">
        <v>111</v>
      </c>
      <c r="E1" t="s">
        <v>112</v>
      </c>
      <c r="F1" t="s">
        <v>113</v>
      </c>
      <c r="G1" t="s">
        <v>114</v>
      </c>
      <c r="H1" t="s">
        <v>115</v>
      </c>
      <c r="I1" t="s">
        <v>116</v>
      </c>
      <c r="J1" t="s">
        <v>117</v>
      </c>
      <c r="K1" t="s">
        <v>118</v>
      </c>
      <c r="L1" t="s">
        <v>119</v>
      </c>
      <c r="M1" t="s">
        <v>120</v>
      </c>
    </row>
    <row r="2" spans="1:13" x14ac:dyDescent="0.55000000000000004">
      <c r="A2" t="s">
        <v>28</v>
      </c>
      <c r="C2">
        <v>46937</v>
      </c>
      <c r="D2">
        <v>15045</v>
      </c>
      <c r="E2">
        <v>71</v>
      </c>
      <c r="H2">
        <v>62053</v>
      </c>
      <c r="I2">
        <v>0.24245403123136675</v>
      </c>
      <c r="J2">
        <v>174</v>
      </c>
      <c r="K2">
        <v>93</v>
      </c>
      <c r="L2">
        <v>81</v>
      </c>
      <c r="M2">
        <v>0.46551724137931033</v>
      </c>
    </row>
    <row r="3" spans="1:13" x14ac:dyDescent="0.55000000000000004">
      <c r="A3" t="s">
        <v>38</v>
      </c>
      <c r="C3">
        <v>9809</v>
      </c>
      <c r="D3">
        <v>3620</v>
      </c>
      <c r="H3">
        <v>13429</v>
      </c>
      <c r="I3">
        <v>0.2695658649192047</v>
      </c>
      <c r="J3">
        <v>181</v>
      </c>
      <c r="K3">
        <v>106</v>
      </c>
      <c r="L3">
        <v>75</v>
      </c>
      <c r="M3">
        <v>0.4143646408839779</v>
      </c>
    </row>
    <row r="4" spans="1:13" x14ac:dyDescent="0.55000000000000004">
      <c r="A4" t="s">
        <v>42</v>
      </c>
      <c r="C4">
        <v>5873</v>
      </c>
      <c r="D4">
        <v>2397</v>
      </c>
      <c r="E4">
        <v>7993</v>
      </c>
      <c r="F4">
        <v>5162</v>
      </c>
      <c r="H4">
        <v>21425</v>
      </c>
      <c r="I4">
        <v>0.11187864644107351</v>
      </c>
      <c r="J4">
        <v>212</v>
      </c>
      <c r="K4">
        <v>138</v>
      </c>
      <c r="L4">
        <v>74</v>
      </c>
      <c r="M4">
        <v>0.34905660377358488</v>
      </c>
    </row>
    <row r="5" spans="1:13" x14ac:dyDescent="0.55000000000000004">
      <c r="A5" t="s">
        <v>44</v>
      </c>
      <c r="C5">
        <v>17508</v>
      </c>
      <c r="D5">
        <v>6640</v>
      </c>
      <c r="H5">
        <v>24148</v>
      </c>
      <c r="I5">
        <v>0.27497101209209873</v>
      </c>
      <c r="J5">
        <v>125</v>
      </c>
      <c r="K5">
        <v>81</v>
      </c>
      <c r="L5">
        <v>44</v>
      </c>
      <c r="M5">
        <v>0.35199999999999998</v>
      </c>
    </row>
    <row r="6" spans="1:13" x14ac:dyDescent="0.55000000000000004">
      <c r="A6" t="s">
        <v>46</v>
      </c>
      <c r="C6">
        <v>20059</v>
      </c>
      <c r="D6">
        <v>7937</v>
      </c>
      <c r="H6">
        <v>27996</v>
      </c>
      <c r="I6">
        <v>0.28350478639805687</v>
      </c>
      <c r="J6">
        <v>147</v>
      </c>
      <c r="K6">
        <v>104</v>
      </c>
      <c r="L6">
        <v>43</v>
      </c>
      <c r="M6">
        <v>0.29251700680272108</v>
      </c>
    </row>
    <row r="7" spans="1:13" x14ac:dyDescent="0.55000000000000004">
      <c r="A7" t="s">
        <v>48</v>
      </c>
      <c r="C7">
        <v>36035</v>
      </c>
      <c r="H7">
        <v>36035</v>
      </c>
      <c r="I7">
        <v>0</v>
      </c>
      <c r="J7">
        <v>222</v>
      </c>
      <c r="K7">
        <v>144</v>
      </c>
      <c r="L7">
        <v>78</v>
      </c>
      <c r="M7">
        <v>0.35135135135135137</v>
      </c>
    </row>
    <row r="8" spans="1:13" x14ac:dyDescent="0.55000000000000004">
      <c r="A8" t="s">
        <v>50</v>
      </c>
      <c r="C8">
        <v>26351</v>
      </c>
      <c r="D8">
        <v>10305</v>
      </c>
      <c r="E8">
        <v>352</v>
      </c>
      <c r="H8">
        <v>37008</v>
      </c>
      <c r="I8">
        <v>0.27845330739299612</v>
      </c>
      <c r="J8">
        <v>103</v>
      </c>
      <c r="K8">
        <v>69</v>
      </c>
      <c r="L8">
        <v>34</v>
      </c>
      <c r="M8">
        <v>0.3300970873786408</v>
      </c>
    </row>
    <row r="9" spans="1:13" x14ac:dyDescent="0.55000000000000004">
      <c r="A9" t="s">
        <v>52</v>
      </c>
      <c r="C9">
        <v>8371</v>
      </c>
      <c r="D9">
        <v>3251</v>
      </c>
      <c r="H9">
        <v>11622</v>
      </c>
      <c r="I9">
        <v>0.27972810187575287</v>
      </c>
      <c r="J9">
        <v>115</v>
      </c>
      <c r="K9">
        <v>84</v>
      </c>
      <c r="L9">
        <v>31</v>
      </c>
      <c r="M9">
        <v>0.26956521739130435</v>
      </c>
    </row>
    <row r="10" spans="1:13" x14ac:dyDescent="0.55000000000000004">
      <c r="A10" t="s">
        <v>55</v>
      </c>
      <c r="B10">
        <v>1049</v>
      </c>
      <c r="C10">
        <v>27197</v>
      </c>
      <c r="D10">
        <v>13194</v>
      </c>
      <c r="E10">
        <v>3176</v>
      </c>
      <c r="H10">
        <v>44616</v>
      </c>
      <c r="I10">
        <v>0.29572350726196878</v>
      </c>
      <c r="J10">
        <v>226</v>
      </c>
      <c r="K10">
        <v>165</v>
      </c>
      <c r="L10">
        <v>61</v>
      </c>
      <c r="M10">
        <v>0.26991150442477874</v>
      </c>
    </row>
    <row r="11" spans="1:13" x14ac:dyDescent="0.55000000000000004">
      <c r="A11" t="s">
        <v>57</v>
      </c>
      <c r="B11">
        <v>3371</v>
      </c>
      <c r="C11">
        <v>13501</v>
      </c>
      <c r="D11">
        <v>294</v>
      </c>
      <c r="H11">
        <v>17166</v>
      </c>
      <c r="I11">
        <v>1.7126878713736457E-2</v>
      </c>
      <c r="J11">
        <v>219</v>
      </c>
      <c r="K11">
        <v>166</v>
      </c>
      <c r="L11">
        <v>53</v>
      </c>
      <c r="M11">
        <v>0.24200913242009131</v>
      </c>
    </row>
    <row r="12" spans="1:13" x14ac:dyDescent="0.55000000000000004">
      <c r="A12" t="s">
        <v>60</v>
      </c>
      <c r="C12">
        <v>15252</v>
      </c>
      <c r="D12">
        <v>56397</v>
      </c>
      <c r="E12">
        <v>44150</v>
      </c>
      <c r="F12">
        <v>7288</v>
      </c>
      <c r="H12">
        <v>123087</v>
      </c>
      <c r="I12">
        <v>0.45818811084842431</v>
      </c>
      <c r="J12">
        <v>166</v>
      </c>
      <c r="K12">
        <v>126</v>
      </c>
      <c r="L12">
        <v>40</v>
      </c>
      <c r="M12">
        <v>0.24096385542168675</v>
      </c>
    </row>
    <row r="13" spans="1:13" x14ac:dyDescent="0.55000000000000004">
      <c r="A13" t="s">
        <v>63</v>
      </c>
      <c r="B13">
        <v>1964</v>
      </c>
      <c r="C13">
        <v>4051</v>
      </c>
      <c r="D13">
        <v>15318</v>
      </c>
      <c r="E13">
        <v>1236</v>
      </c>
      <c r="H13">
        <v>22569</v>
      </c>
      <c r="I13">
        <v>0.67871859630466569</v>
      </c>
      <c r="J13">
        <v>179</v>
      </c>
      <c r="K13">
        <v>131</v>
      </c>
      <c r="L13">
        <v>48</v>
      </c>
      <c r="M13">
        <v>0.26815642458100558</v>
      </c>
    </row>
    <row r="14" spans="1:13" x14ac:dyDescent="0.55000000000000004">
      <c r="A14" t="s">
        <v>121</v>
      </c>
      <c r="C14">
        <v>4995</v>
      </c>
      <c r="D14">
        <v>6</v>
      </c>
      <c r="E14">
        <v>91</v>
      </c>
      <c r="H14">
        <v>5092</v>
      </c>
      <c r="I14">
        <v>1.178318931657502E-3</v>
      </c>
      <c r="J14">
        <v>107</v>
      </c>
      <c r="K14">
        <v>78</v>
      </c>
      <c r="L14">
        <v>29</v>
      </c>
      <c r="M14">
        <v>0.27102803738317754</v>
      </c>
    </row>
    <row r="15" spans="1:13" x14ac:dyDescent="0.55000000000000004">
      <c r="A15" t="s">
        <v>72</v>
      </c>
      <c r="B15">
        <v>2826</v>
      </c>
      <c r="C15">
        <v>50833</v>
      </c>
      <c r="D15">
        <v>5906</v>
      </c>
      <c r="E15">
        <v>22866</v>
      </c>
      <c r="H15">
        <v>82431</v>
      </c>
      <c r="I15">
        <v>7.1647802404435218E-2</v>
      </c>
      <c r="J15">
        <v>146</v>
      </c>
      <c r="K15">
        <v>73</v>
      </c>
      <c r="L15">
        <v>73</v>
      </c>
      <c r="M15">
        <v>0.5</v>
      </c>
    </row>
    <row r="16" spans="1:13" x14ac:dyDescent="0.55000000000000004">
      <c r="A16" t="s">
        <v>77</v>
      </c>
      <c r="C16">
        <v>9838</v>
      </c>
      <c r="D16">
        <v>10866</v>
      </c>
      <c r="G16">
        <v>1677</v>
      </c>
      <c r="H16">
        <v>22381</v>
      </c>
      <c r="I16">
        <v>0.48550109467852198</v>
      </c>
      <c r="J16">
        <v>272</v>
      </c>
      <c r="K16">
        <v>207</v>
      </c>
      <c r="L16">
        <v>65</v>
      </c>
      <c r="M16">
        <v>0.23897058823529413</v>
      </c>
    </row>
    <row r="17" spans="1:13" x14ac:dyDescent="0.55000000000000004">
      <c r="A17" t="s">
        <v>80</v>
      </c>
      <c r="C17">
        <v>16844</v>
      </c>
      <c r="E17">
        <v>1158</v>
      </c>
      <c r="H17">
        <v>18002</v>
      </c>
      <c r="I17">
        <v>0</v>
      </c>
      <c r="J17">
        <v>156</v>
      </c>
      <c r="K17">
        <v>93</v>
      </c>
      <c r="L17">
        <v>63</v>
      </c>
      <c r="M17">
        <v>0.40384615384615385</v>
      </c>
    </row>
    <row r="18" spans="1:13" x14ac:dyDescent="0.55000000000000004">
      <c r="A18" t="s">
        <v>82</v>
      </c>
      <c r="C18">
        <v>5943</v>
      </c>
      <c r="D18">
        <v>3166</v>
      </c>
      <c r="E18">
        <v>791</v>
      </c>
      <c r="H18">
        <v>9900</v>
      </c>
      <c r="I18">
        <v>0.3197979797979798</v>
      </c>
      <c r="J18">
        <v>184</v>
      </c>
      <c r="K18">
        <v>117</v>
      </c>
      <c r="L18">
        <v>67</v>
      </c>
      <c r="M18">
        <v>0.3641304347826087</v>
      </c>
    </row>
    <row r="19" spans="1:13" x14ac:dyDescent="0.55000000000000004">
      <c r="A19" t="s">
        <v>85</v>
      </c>
      <c r="C19">
        <v>19544</v>
      </c>
      <c r="D19">
        <v>10399</v>
      </c>
      <c r="E19">
        <v>7708</v>
      </c>
      <c r="H19">
        <v>37651</v>
      </c>
      <c r="I19">
        <v>0.27619452338583306</v>
      </c>
      <c r="J19">
        <v>207</v>
      </c>
      <c r="K19">
        <v>114</v>
      </c>
      <c r="L19">
        <v>93</v>
      </c>
      <c r="M19">
        <v>0.44927536231884058</v>
      </c>
    </row>
    <row r="20" spans="1:13" x14ac:dyDescent="0.55000000000000004">
      <c r="A20" t="s">
        <v>91</v>
      </c>
      <c r="C20">
        <v>74956</v>
      </c>
      <c r="E20">
        <v>200</v>
      </c>
      <c r="H20">
        <v>75156</v>
      </c>
      <c r="I20">
        <v>0</v>
      </c>
      <c r="J20">
        <v>245</v>
      </c>
      <c r="K20">
        <v>149</v>
      </c>
      <c r="L20">
        <v>96</v>
      </c>
      <c r="M20">
        <v>0.39183673469387753</v>
      </c>
    </row>
    <row r="21" spans="1:13" x14ac:dyDescent="0.55000000000000004">
      <c r="A21" t="s">
        <v>96</v>
      </c>
      <c r="C21">
        <v>755</v>
      </c>
      <c r="D21">
        <v>10495</v>
      </c>
      <c r="E21">
        <v>781</v>
      </c>
      <c r="H21">
        <v>12031</v>
      </c>
      <c r="I21">
        <v>0.87232981464549908</v>
      </c>
      <c r="J21">
        <v>192</v>
      </c>
      <c r="K21">
        <v>98</v>
      </c>
      <c r="L21">
        <v>94</v>
      </c>
      <c r="M21">
        <v>0.48958333333333331</v>
      </c>
    </row>
    <row r="22" spans="1:13" x14ac:dyDescent="0.55000000000000004">
      <c r="A22" t="s">
        <v>99</v>
      </c>
      <c r="D22">
        <v>16603</v>
      </c>
      <c r="E22">
        <v>2242</v>
      </c>
      <c r="H22">
        <v>18845</v>
      </c>
      <c r="I22">
        <v>0.88102945078270101</v>
      </c>
      <c r="J22">
        <v>181</v>
      </c>
      <c r="K22">
        <v>154</v>
      </c>
      <c r="L22">
        <v>27</v>
      </c>
      <c r="M22">
        <v>0.14917127071823205</v>
      </c>
    </row>
    <row r="23" spans="1:13" x14ac:dyDescent="0.55000000000000004">
      <c r="A23" t="s">
        <v>122</v>
      </c>
      <c r="B23">
        <v>1784</v>
      </c>
      <c r="C23">
        <v>25523</v>
      </c>
      <c r="D23">
        <v>7657</v>
      </c>
      <c r="H23">
        <v>34964</v>
      </c>
      <c r="I23">
        <v>0.21899668230179614</v>
      </c>
      <c r="J23">
        <v>192</v>
      </c>
      <c r="K23">
        <v>126</v>
      </c>
      <c r="L23">
        <v>66</v>
      </c>
      <c r="M23">
        <v>0.34375</v>
      </c>
    </row>
    <row r="24" spans="1:13" x14ac:dyDescent="0.55000000000000004">
      <c r="A24" t="s">
        <v>123</v>
      </c>
      <c r="C24">
        <v>7177</v>
      </c>
      <c r="D24">
        <v>64371</v>
      </c>
      <c r="E24">
        <v>1304</v>
      </c>
      <c r="G24">
        <v>6000</v>
      </c>
      <c r="H24">
        <v>78852</v>
      </c>
      <c r="I24">
        <v>0.81635215340130873</v>
      </c>
      <c r="J24">
        <v>259</v>
      </c>
      <c r="K24">
        <v>184</v>
      </c>
      <c r="L24">
        <v>75</v>
      </c>
      <c r="M24">
        <v>0.28957528957528955</v>
      </c>
    </row>
    <row r="25" spans="1:13" x14ac:dyDescent="0.55000000000000004">
      <c r="A25" t="s">
        <v>101</v>
      </c>
      <c r="B25">
        <v>2271</v>
      </c>
      <c r="C25">
        <v>8249</v>
      </c>
      <c r="D25">
        <v>6611</v>
      </c>
      <c r="H25">
        <v>17131</v>
      </c>
      <c r="I25">
        <v>0.38590858677251766</v>
      </c>
      <c r="J25">
        <v>270</v>
      </c>
      <c r="K25">
        <v>186</v>
      </c>
      <c r="L25">
        <v>84</v>
      </c>
      <c r="M25">
        <v>0.31111111111111112</v>
      </c>
    </row>
    <row r="26" spans="1:13" x14ac:dyDescent="0.55000000000000004">
      <c r="A26" t="s">
        <v>104</v>
      </c>
      <c r="C26">
        <v>7076</v>
      </c>
      <c r="D26">
        <v>107</v>
      </c>
      <c r="H26">
        <v>7183</v>
      </c>
      <c r="I26">
        <v>1.4896282890157316E-2</v>
      </c>
      <c r="J26">
        <v>142</v>
      </c>
      <c r="K26">
        <v>108</v>
      </c>
      <c r="L26">
        <v>34</v>
      </c>
      <c r="M26">
        <v>0.23943661971830985</v>
      </c>
    </row>
  </sheetData>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FC780A667E35F41B6150BBD16529FD4" ma:contentTypeVersion="11" ma:contentTypeDescription="Create a new document." ma:contentTypeScope="" ma:versionID="38edf32eae55765726fc689e17eb4334">
  <xsd:schema xmlns:xsd="http://www.w3.org/2001/XMLSchema" xmlns:xs="http://www.w3.org/2001/XMLSchema" xmlns:p="http://schemas.microsoft.com/office/2006/metadata/properties" xmlns:ns2="f509661b-9655-48c0-83b4-c5f2b7e3459b" xmlns:ns3="10476468-d035-4ea3-87a1-4faf4d754cc2" targetNamespace="http://schemas.microsoft.com/office/2006/metadata/properties" ma:root="true" ma:fieldsID="83521cb7fea1084c1ae7ea4f7c3974e9" ns2:_="" ns3:_="">
    <xsd:import namespace="f509661b-9655-48c0-83b4-c5f2b7e3459b"/>
    <xsd:import namespace="10476468-d035-4ea3-87a1-4faf4d754cc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09661b-9655-48c0-83b4-c5f2b7e345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0476468-d035-4ea3-87a1-4faf4d754cc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6EEDCB-2533-494F-8821-7DEFC2EB7C65}">
  <ds:schemaRefs>
    <ds:schemaRef ds:uri="http://schemas.microsoft.com/office/2006/metadata/properties"/>
    <ds:schemaRef ds:uri="http://purl.org/dc/terms/"/>
    <ds:schemaRef ds:uri="http://schemas.microsoft.com/office/2006/documentManagement/types"/>
    <ds:schemaRef ds:uri="f509661b-9655-48c0-83b4-c5f2b7e3459b"/>
    <ds:schemaRef ds:uri="10476468-d035-4ea3-87a1-4faf4d754cc2"/>
    <ds:schemaRef ds:uri="http://purl.org/dc/elements/1.1/"/>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24F54EE3-A29E-493F-AEA1-D8FA0662A247}">
  <ds:schemaRefs>
    <ds:schemaRef ds:uri="http://schemas.microsoft.com/sharepoint/v3/contenttype/forms"/>
  </ds:schemaRefs>
</ds:datastoreItem>
</file>

<file path=customXml/itemProps3.xml><?xml version="1.0" encoding="utf-8"?>
<ds:datastoreItem xmlns:ds="http://schemas.openxmlformats.org/officeDocument/2006/customXml" ds:itemID="{F6043177-B76A-4E2F-9147-3D12E8CF8FD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Metrics Overview</vt:lpstr>
      <vt:lpstr>Rank methods</vt:lpstr>
      <vt:lpstr>Risk data</vt:lpstr>
      <vt:lpstr>1.Ranking</vt:lpstr>
      <vt:lpstr>2.WeightedRanking</vt:lpstr>
      <vt:lpstr>Charts</vt:lpstr>
      <vt:lpstr>Water agencies</vt:lpstr>
      <vt:lpstr>Table2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Cora CK. Kammeyer</dc:creator>
  <cp:lastModifiedBy>Cora</cp:lastModifiedBy>
  <cp:lastPrinted>2019-04-12T21:31:11Z</cp:lastPrinted>
  <dcterms:created xsi:type="dcterms:W3CDTF">2019-04-12T13:47:45Z</dcterms:created>
  <dcterms:modified xsi:type="dcterms:W3CDTF">2019-07-30T19:50:38Z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0x0101006FC780A667E35F41B6150BBD16529FD4</vt:lpwstr>
  </property>
</Properties>
</file>